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tables/table3.xml" ContentType="application/vnd.openxmlformats-officedocument.spreadsheetml.tab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tables/table4.xml" ContentType="application/vnd.openxmlformats-officedocument.spreadsheetml.tab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xml"/>
  <Override PartName="/xl/tables/table5.xml" ContentType="application/vnd.openxmlformats-officedocument.spreadsheetml.tab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6.xml" ContentType="application/vnd.openxmlformats-officedocument.drawing+xml"/>
  <Override PartName="/xl/tables/table6.xml" ContentType="application/vnd.openxmlformats-officedocument.spreadsheetml.tab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7.xml" ContentType="application/vnd.openxmlformats-officedocument.drawing+xml"/>
  <Override PartName="/xl/tables/table7.xml" ContentType="application/vnd.openxmlformats-officedocument.spreadsheetml.tab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8.xml" ContentType="application/vnd.openxmlformats-officedocument.drawing+xml"/>
  <Override PartName="/xl/tables/table8.xml" ContentType="application/vnd.openxmlformats-officedocument.spreadsheetml.tab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9.xml" ContentType="application/vnd.openxmlformats-officedocument.drawing+xml"/>
  <Override PartName="/xl/tables/table9.xml" ContentType="application/vnd.openxmlformats-officedocument.spreadsheetml.tab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10.xml" ContentType="application/vnd.openxmlformats-officedocument.drawing+xml"/>
  <Override PartName="/xl/tables/table10.xml" ContentType="application/vnd.openxmlformats-officedocument.spreadsheetml.tab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1.xml" ContentType="application/vnd.openxmlformats-officedocument.drawing+xml"/>
  <Override PartName="/xl/tables/table11.xml" ContentType="application/vnd.openxmlformats-officedocument.spreadsheetml.tab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12.xml" ContentType="application/vnd.openxmlformats-officedocument.drawing+xml"/>
  <Override PartName="/xl/tables/table12.xml" ContentType="application/vnd.openxmlformats-officedocument.spreadsheetml.tab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13.xml" ContentType="application/vnd.openxmlformats-officedocument.drawing+xml"/>
  <Override PartName="/xl/tables/table13.xml" ContentType="application/vnd.openxmlformats-officedocument.spreadsheetml.tab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14.xml" ContentType="application/vnd.openxmlformats-officedocument.drawing+xml"/>
  <Override PartName="/xl/tables/table14.xml" ContentType="application/vnd.openxmlformats-officedocument.spreadsheetml.tab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d.docs.live.net/8555854b4ad9a3f1/Documents/Investing/InvestingBlog/BlogDocs/Resources/Downloads/Uploaded/"/>
    </mc:Choice>
  </mc:AlternateContent>
  <xr:revisionPtr revIDLastSave="92" documentId="13_ncr:1_{2ADE7CE7-8E94-4151-8360-3E98DD8A1CDE}" xr6:coauthVersionLast="47" xr6:coauthVersionMax="47" xr10:uidLastSave="{6606E659-AC3C-42CE-89DB-13BABE7DCD18}"/>
  <bookViews>
    <workbookView xWindow="735" yWindow="2385" windowWidth="21600" windowHeight="11235" activeTab="1" xr2:uid="{5F0D8C0C-693C-4089-ABA7-C71F0AC87248}"/>
  </bookViews>
  <sheets>
    <sheet name="ReadMe" sheetId="32" r:id="rId1"/>
    <sheet name="OverallStats" sheetId="3" r:id="rId2"/>
    <sheet name="AI" sheetId="18" r:id="rId3"/>
    <sheet name="CashlessSociety" sheetId="4" r:id="rId4"/>
    <sheet name="DigitalRevolution" sheetId="7" r:id="rId5"/>
    <sheet name="CDNStarter" sheetId="8" r:id="rId6"/>
    <sheet name="GoneToTheAnimals" sheetId="9" r:id="rId7"/>
    <sheet name="CdnTechs" sheetId="10" r:id="rId8"/>
    <sheet name="GreenRevolution" sheetId="11" r:id="rId9"/>
    <sheet name="ElectricVehicles" sheetId="12" r:id="rId10"/>
    <sheet name="BuyNowPayLater" sheetId="17" r:id="rId11"/>
    <sheet name="ForTheConsumer" sheetId="19" r:id="rId12"/>
    <sheet name="GetOutAndGo" sheetId="20" r:id="rId13"/>
    <sheet name="USInfrastructure" sheetId="22" r:id="rId14"/>
    <sheet name="Copper" sheetId="31" r:id="rId15"/>
  </sheets>
  <definedNames>
    <definedName name="_xlnm._FilterDatabase" localSheetId="2" hidden="1">AI!$A$1:$A$1</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8" i="10" l="1" a="1"/>
  <c r="B28" i="10" s="1"/>
  <c r="D28" i="10" a="1"/>
  <c r="D28" i="10" s="1"/>
  <c r="E28" i="10" s="1"/>
  <c r="B22" i="31" l="1" a="1"/>
  <c r="B22" i="31" s="1"/>
  <c r="B23" i="31" a="1"/>
  <c r="B23" i="31" s="1"/>
  <c r="B24" i="31" a="1"/>
  <c r="B24" i="31" s="1"/>
  <c r="B25" i="31" a="1"/>
  <c r="B25" i="31" s="1"/>
  <c r="B26" i="31" a="1"/>
  <c r="B26" i="31" s="1"/>
  <c r="B27" i="31" a="1"/>
  <c r="B27" i="31" s="1"/>
  <c r="B28" i="31" a="1"/>
  <c r="B28" i="31" s="1"/>
  <c r="B29" i="31" a="1"/>
  <c r="B29" i="31" s="1"/>
  <c r="D29" i="31" a="1"/>
  <c r="D29" i="31" s="1"/>
  <c r="E29" i="31" s="1"/>
  <c r="D28" i="31" a="1"/>
  <c r="D28" i="31" s="1"/>
  <c r="E28" i="31" s="1"/>
  <c r="D27" i="31" a="1"/>
  <c r="D27" i="31" s="1"/>
  <c r="E27" i="31" s="1"/>
  <c r="D26" i="31" a="1"/>
  <c r="D26" i="31" s="1"/>
  <c r="E26" i="31" s="1"/>
  <c r="D25" i="31" a="1"/>
  <c r="D25" i="31" s="1"/>
  <c r="E25" i="31" s="1"/>
  <c r="D24" i="31" a="1"/>
  <c r="D24" i="31" s="1"/>
  <c r="E24" i="31" s="1"/>
  <c r="D23" i="31" a="1"/>
  <c r="D23" i="31" s="1"/>
  <c r="E23" i="31" s="1"/>
  <c r="D22" i="31" a="1"/>
  <c r="D22" i="31" s="1"/>
  <c r="E22" i="31" s="1"/>
  <c r="C34" i="31" l="1"/>
  <c r="B34" i="31" s="1"/>
  <c r="C33" i="31"/>
  <c r="B33" i="31" s="1"/>
  <c r="B36" i="31"/>
  <c r="D19" i="3" s="1"/>
  <c r="F27" i="31"/>
  <c r="G27" i="31" s="1"/>
  <c r="F22" i="31"/>
  <c r="G22" i="31" s="1"/>
  <c r="F26" i="31"/>
  <c r="G26" i="31" s="1"/>
  <c r="F29" i="31"/>
  <c r="G29" i="31" s="1"/>
  <c r="F24" i="31"/>
  <c r="G24" i="31" s="1"/>
  <c r="F28" i="31"/>
  <c r="G28" i="31" s="1"/>
  <c r="F25" i="31"/>
  <c r="G25" i="31" s="1"/>
  <c r="F23" i="31"/>
  <c r="G23" i="31" s="1"/>
  <c r="H25" i="31"/>
  <c r="I25" i="31" s="1"/>
  <c r="H29" i="31"/>
  <c r="I29" i="31" s="1"/>
  <c r="H24" i="31"/>
  <c r="I24" i="31" s="1"/>
  <c r="H22" i="31"/>
  <c r="I22" i="31" s="1"/>
  <c r="H26" i="31"/>
  <c r="I26" i="31" s="1"/>
  <c r="H28" i="31"/>
  <c r="I28" i="31" s="1"/>
  <c r="H23" i="31"/>
  <c r="I23" i="31" s="1"/>
  <c r="H27" i="31"/>
  <c r="I27" i="31" s="1"/>
  <c r="B27" i="22" a="1"/>
  <c r="B27" i="22" s="1"/>
  <c r="D27" i="22" a="1"/>
  <c r="D27" i="22" s="1"/>
  <c r="E27" i="22" s="1"/>
  <c r="D29" i="22" a="1"/>
  <c r="D29" i="22" s="1"/>
  <c r="E29" i="22" s="1"/>
  <c r="H27" i="22" s="1"/>
  <c r="B29" i="22" a="1"/>
  <c r="B29" i="22" s="1"/>
  <c r="D28" i="22" a="1"/>
  <c r="D28" i="22" s="1"/>
  <c r="E28" i="22" s="1"/>
  <c r="F24" i="22" s="1"/>
  <c r="B28" i="22" a="1"/>
  <c r="B28" i="22" s="1"/>
  <c r="D26" i="22" a="1"/>
  <c r="D26" i="22" s="1"/>
  <c r="E26" i="22" s="1"/>
  <c r="B26" i="22" a="1"/>
  <c r="B26" i="22" s="1"/>
  <c r="D25" i="22" a="1"/>
  <c r="D25" i="22" s="1"/>
  <c r="E25" i="22" s="1"/>
  <c r="B25" i="22" a="1"/>
  <c r="B25" i="22" s="1"/>
  <c r="D24" i="22" a="1"/>
  <c r="D24" i="22" s="1"/>
  <c r="E24" i="22" s="1"/>
  <c r="B24" i="22" a="1"/>
  <c r="B24" i="22" s="1"/>
  <c r="D23" i="22" a="1"/>
  <c r="D23" i="22" s="1"/>
  <c r="E23" i="22" s="1"/>
  <c r="B23" i="22" a="1"/>
  <c r="B23" i="22" s="1"/>
  <c r="D22" i="22" a="1"/>
  <c r="D22" i="22" s="1"/>
  <c r="E22" i="22" s="1"/>
  <c r="B22" i="22" a="1"/>
  <c r="B22" i="22" s="1"/>
  <c r="D28" i="20" a="1"/>
  <c r="D28" i="20" s="1"/>
  <c r="E28" i="20" s="1"/>
  <c r="B28" i="20" a="1"/>
  <c r="B28" i="20" s="1"/>
  <c r="D27" i="20" a="1"/>
  <c r="D27" i="20" s="1"/>
  <c r="E27" i="20" s="1"/>
  <c r="F24" i="20" s="1"/>
  <c r="B27" i="20" a="1"/>
  <c r="B27" i="20" s="1"/>
  <c r="D26" i="20" a="1"/>
  <c r="D26" i="20" s="1"/>
  <c r="E26" i="20" s="1"/>
  <c r="B26" i="20" a="1"/>
  <c r="B26" i="20" s="1"/>
  <c r="D25" i="20" a="1"/>
  <c r="D25" i="20" s="1"/>
  <c r="E25" i="20" s="1"/>
  <c r="B25" i="20" a="1"/>
  <c r="B25" i="20" s="1"/>
  <c r="D24" i="20" a="1"/>
  <c r="D24" i="20" s="1"/>
  <c r="E24" i="20" s="1"/>
  <c r="B24" i="20" a="1"/>
  <c r="B24" i="20" s="1"/>
  <c r="D23" i="20" a="1"/>
  <c r="D23" i="20" s="1"/>
  <c r="E23" i="20" s="1"/>
  <c r="B23" i="20" a="1"/>
  <c r="B23" i="20" s="1"/>
  <c r="D22" i="20" a="1"/>
  <c r="D22" i="20" s="1"/>
  <c r="E22" i="20" s="1"/>
  <c r="B22" i="20" a="1"/>
  <c r="B22" i="20" s="1"/>
  <c r="D28" i="19" a="1"/>
  <c r="D28" i="19" s="1"/>
  <c r="E28" i="19" s="1"/>
  <c r="B28" i="19" a="1"/>
  <c r="B28" i="19" s="1"/>
  <c r="D27" i="19" a="1"/>
  <c r="D27" i="19" s="1"/>
  <c r="E27" i="19" s="1"/>
  <c r="F24" i="19" s="1"/>
  <c r="B27" i="19" a="1"/>
  <c r="B27" i="19" s="1"/>
  <c r="D26" i="19" a="1"/>
  <c r="D26" i="19" s="1"/>
  <c r="E26" i="19" s="1"/>
  <c r="B26" i="19" a="1"/>
  <c r="B26" i="19" s="1"/>
  <c r="D25" i="19" a="1"/>
  <c r="D25" i="19" s="1"/>
  <c r="E25" i="19" s="1"/>
  <c r="B25" i="19" a="1"/>
  <c r="B25" i="19" s="1"/>
  <c r="D24" i="19" a="1"/>
  <c r="D24" i="19" s="1"/>
  <c r="E24" i="19" s="1"/>
  <c r="B24" i="19" a="1"/>
  <c r="B24" i="19" s="1"/>
  <c r="D23" i="19" a="1"/>
  <c r="D23" i="19" s="1"/>
  <c r="E23" i="19" s="1"/>
  <c r="B23" i="19" a="1"/>
  <c r="B23" i="19" s="1"/>
  <c r="D22" i="19" a="1"/>
  <c r="D22" i="19" s="1"/>
  <c r="E22" i="19" s="1"/>
  <c r="B22" i="19" a="1"/>
  <c r="B22" i="19" s="1"/>
  <c r="B40" i="18" a="1"/>
  <c r="B40" i="18" s="1"/>
  <c r="E40" i="18" a="1"/>
  <c r="E40" i="18" s="1"/>
  <c r="F40" i="18" s="1"/>
  <c r="B22" i="18" a="1"/>
  <c r="B22" i="18" s="1"/>
  <c r="B23" i="18" a="1"/>
  <c r="B23" i="18" s="1"/>
  <c r="B24" i="18" a="1"/>
  <c r="B24" i="18" s="1"/>
  <c r="B25" i="18" a="1"/>
  <c r="B25" i="18" s="1"/>
  <c r="B26" i="18" a="1"/>
  <c r="B26" i="18" s="1"/>
  <c r="B27" i="18" a="1"/>
  <c r="B27" i="18" s="1"/>
  <c r="B28" i="18" a="1"/>
  <c r="B28" i="18" s="1"/>
  <c r="B29" i="18" a="1"/>
  <c r="B29" i="18" s="1"/>
  <c r="B30" i="18" a="1"/>
  <c r="B30" i="18" s="1"/>
  <c r="B31" i="18" a="1"/>
  <c r="B31" i="18" s="1"/>
  <c r="B32" i="18" a="1"/>
  <c r="B32" i="18" s="1"/>
  <c r="B33" i="18" a="1"/>
  <c r="B33" i="18" s="1"/>
  <c r="B34" i="18" a="1"/>
  <c r="B34" i="18" s="1"/>
  <c r="E22" i="18" a="1"/>
  <c r="E22" i="18" s="1"/>
  <c r="F22" i="18" s="1"/>
  <c r="E23" i="18" a="1"/>
  <c r="E23" i="18" s="1"/>
  <c r="F23" i="18" s="1"/>
  <c r="E24" i="18" a="1"/>
  <c r="E24" i="18" s="1"/>
  <c r="F24" i="18" s="1"/>
  <c r="E25" i="18" a="1"/>
  <c r="E25" i="18" s="1"/>
  <c r="F25" i="18" s="1"/>
  <c r="E26" i="18" a="1"/>
  <c r="E26" i="18" s="1"/>
  <c r="F26" i="18" s="1"/>
  <c r="E27" i="18" a="1"/>
  <c r="E27" i="18" s="1"/>
  <c r="F27" i="18" s="1"/>
  <c r="E28" i="18" a="1"/>
  <c r="E28" i="18" s="1"/>
  <c r="F28" i="18" s="1"/>
  <c r="E29" i="18" a="1"/>
  <c r="E29" i="18" s="1"/>
  <c r="F29" i="18" s="1"/>
  <c r="E30" i="18" a="1"/>
  <c r="E30" i="18" s="1"/>
  <c r="F30" i="18" s="1"/>
  <c r="E31" i="18" a="1"/>
  <c r="E31" i="18" s="1"/>
  <c r="F31" i="18" s="1"/>
  <c r="E32" i="18" a="1"/>
  <c r="E32" i="18" s="1"/>
  <c r="F32" i="18" s="1"/>
  <c r="E33" i="18" a="1"/>
  <c r="E33" i="18" s="1"/>
  <c r="F33" i="18" s="1"/>
  <c r="E34" i="18" a="1"/>
  <c r="E34" i="18" s="1"/>
  <c r="F34" i="18" s="1"/>
  <c r="B35" i="18" a="1"/>
  <c r="B35" i="18" s="1"/>
  <c r="B36" i="18" a="1"/>
  <c r="B36" i="18" s="1"/>
  <c r="B37" i="18" a="1"/>
  <c r="B37" i="18" s="1"/>
  <c r="B38" i="18" a="1"/>
  <c r="B38" i="18" s="1"/>
  <c r="B39" i="18" a="1"/>
  <c r="B39" i="18" s="1"/>
  <c r="B41" i="18" a="1"/>
  <c r="B41" i="18" s="1"/>
  <c r="B42" i="18" a="1"/>
  <c r="B42" i="18" s="1"/>
  <c r="B43" i="18" a="1"/>
  <c r="B43" i="18" s="1"/>
  <c r="B44" i="18" a="1"/>
  <c r="B44" i="18" s="1"/>
  <c r="B45" i="18" a="1"/>
  <c r="B45" i="18" s="1"/>
  <c r="B46" i="18" a="1"/>
  <c r="B46" i="18" s="1"/>
  <c r="E35" i="18" a="1"/>
  <c r="E35" i="18" s="1"/>
  <c r="F35" i="18" s="1"/>
  <c r="G40" i="18" s="1"/>
  <c r="E36" i="18" a="1"/>
  <c r="E36" i="18" s="1"/>
  <c r="F36" i="18" s="1"/>
  <c r="E37" i="18" a="1"/>
  <c r="E37" i="18" s="1"/>
  <c r="F37" i="18" s="1"/>
  <c r="E38" i="18" a="1"/>
  <c r="E38" i="18" s="1"/>
  <c r="F38" i="18" s="1"/>
  <c r="E39" i="18" a="1"/>
  <c r="E39" i="18" s="1"/>
  <c r="F39" i="18" s="1"/>
  <c r="E41" i="18" a="1"/>
  <c r="E41" i="18" s="1"/>
  <c r="F41" i="18" s="1"/>
  <c r="E42" i="18" a="1"/>
  <c r="E42" i="18" s="1"/>
  <c r="F42" i="18" s="1"/>
  <c r="E43" i="18" a="1"/>
  <c r="E43" i="18" s="1"/>
  <c r="F43" i="18" s="1"/>
  <c r="E44" i="18" a="1"/>
  <c r="E44" i="18" s="1"/>
  <c r="F44" i="18" s="1"/>
  <c r="E45" i="18" a="1"/>
  <c r="E45" i="18" s="1"/>
  <c r="F45" i="18" s="1"/>
  <c r="E46" i="18" a="1"/>
  <c r="E46" i="18" s="1"/>
  <c r="F46" i="18" s="1"/>
  <c r="E52" i="18" a="1"/>
  <c r="E52" i="18" s="1"/>
  <c r="F52" i="18" s="1"/>
  <c r="B52" i="18" a="1"/>
  <c r="B52" i="18" s="1"/>
  <c r="E51" i="18" a="1"/>
  <c r="E51" i="18" s="1"/>
  <c r="F51" i="18" s="1"/>
  <c r="G41" i="18" s="1"/>
  <c r="B51" i="18" a="1"/>
  <c r="B51" i="18" s="1"/>
  <c r="E50" i="18" a="1"/>
  <c r="E50" i="18" s="1"/>
  <c r="F50" i="18" s="1"/>
  <c r="B50" i="18" a="1"/>
  <c r="B50" i="18" s="1"/>
  <c r="E49" i="18" a="1"/>
  <c r="E49" i="18" s="1"/>
  <c r="F49" i="18" s="1"/>
  <c r="B49" i="18" a="1"/>
  <c r="B49" i="18" s="1"/>
  <c r="E48" i="18" a="1"/>
  <c r="E48" i="18" s="1"/>
  <c r="F48" i="18" s="1"/>
  <c r="B48" i="18" a="1"/>
  <c r="B48" i="18" s="1"/>
  <c r="E47" i="18" a="1"/>
  <c r="E47" i="18" s="1"/>
  <c r="F47" i="18" s="1"/>
  <c r="B47" i="18" a="1"/>
  <c r="B47" i="18" s="1"/>
  <c r="E28" i="17" a="1"/>
  <c r="E28" i="17" s="1"/>
  <c r="F28" i="17" s="1"/>
  <c r="D28" i="17" a="1"/>
  <c r="D28" i="17" s="1"/>
  <c r="C28" i="17" a="1"/>
  <c r="C28" i="17" s="1"/>
  <c r="E27" i="17" a="1"/>
  <c r="E27" i="17" s="1"/>
  <c r="F27" i="17" s="1"/>
  <c r="D27" i="17" a="1"/>
  <c r="D27" i="17" s="1"/>
  <c r="C27" i="17" a="1"/>
  <c r="C27" i="17" s="1"/>
  <c r="E26" i="17" a="1"/>
  <c r="E26" i="17" s="1"/>
  <c r="F26" i="17" s="1"/>
  <c r="D26" i="17" a="1"/>
  <c r="D26" i="17" s="1"/>
  <c r="C26" i="17" a="1"/>
  <c r="C26" i="17" s="1"/>
  <c r="E25" i="17" a="1"/>
  <c r="E25" i="17" s="1"/>
  <c r="F25" i="17" s="1"/>
  <c r="D25" i="17" a="1"/>
  <c r="D25" i="17" s="1"/>
  <c r="C25" i="17" a="1"/>
  <c r="C25" i="17" s="1"/>
  <c r="E24" i="17" a="1"/>
  <c r="E24" i="17" s="1"/>
  <c r="F24" i="17" s="1"/>
  <c r="D24" i="17" a="1"/>
  <c r="D24" i="17" s="1"/>
  <c r="C24" i="17" a="1"/>
  <c r="C24" i="17" s="1"/>
  <c r="E23" i="17" a="1"/>
  <c r="E23" i="17" s="1"/>
  <c r="F23" i="17" s="1"/>
  <c r="D23" i="17" a="1"/>
  <c r="D23" i="17" s="1"/>
  <c r="C23" i="17" a="1"/>
  <c r="C23" i="17" s="1"/>
  <c r="E22" i="17" a="1"/>
  <c r="E22" i="17" s="1"/>
  <c r="F22" i="17" s="1"/>
  <c r="D22" i="17" a="1"/>
  <c r="D22" i="17" s="1"/>
  <c r="C22" i="17" a="1"/>
  <c r="C22" i="17" s="1"/>
  <c r="I46" i="18" l="1"/>
  <c r="I40" i="18"/>
  <c r="J40" i="18" s="1"/>
  <c r="C55" i="18"/>
  <c r="B55" i="18" s="1"/>
  <c r="C54" i="18"/>
  <c r="B54" i="18" s="1"/>
  <c r="C32" i="22"/>
  <c r="B32" i="22" s="1"/>
  <c r="C31" i="22"/>
  <c r="B31" i="22" s="1"/>
  <c r="C30" i="20"/>
  <c r="B30" i="20" s="1"/>
  <c r="C31" i="20"/>
  <c r="B31" i="20" s="1"/>
  <c r="C30" i="19"/>
  <c r="B30" i="19" s="1"/>
  <c r="B38" i="31"/>
  <c r="B37" i="31"/>
  <c r="I27" i="22"/>
  <c r="F27" i="22"/>
  <c r="G27" i="22" s="1"/>
  <c r="B34" i="22"/>
  <c r="D18" i="3" s="1"/>
  <c r="H22" i="22"/>
  <c r="H29" i="22"/>
  <c r="I29" i="22" s="1"/>
  <c r="H28" i="22"/>
  <c r="I28" i="22" s="1"/>
  <c r="H26" i="22"/>
  <c r="I26" i="22" s="1"/>
  <c r="H24" i="22"/>
  <c r="I24" i="22" s="1"/>
  <c r="H25" i="22"/>
  <c r="I25" i="22" s="1"/>
  <c r="H23" i="22"/>
  <c r="I23" i="22" s="1"/>
  <c r="G24" i="22"/>
  <c r="F25" i="22"/>
  <c r="G25" i="22" s="1"/>
  <c r="F28" i="22"/>
  <c r="G28" i="22" s="1"/>
  <c r="F26" i="22"/>
  <c r="G26" i="22" s="1"/>
  <c r="F29" i="22"/>
  <c r="G29" i="22" s="1"/>
  <c r="F22" i="22"/>
  <c r="G22" i="22" s="1"/>
  <c r="F23" i="22"/>
  <c r="G23" i="22" s="1"/>
  <c r="G24" i="20"/>
  <c r="B33" i="20"/>
  <c r="D17" i="3" s="1"/>
  <c r="H22" i="20"/>
  <c r="I22" i="20" s="1"/>
  <c r="H28" i="20"/>
  <c r="I28" i="20" s="1"/>
  <c r="H27" i="20"/>
  <c r="I27" i="20" s="1"/>
  <c r="H26" i="20"/>
  <c r="I26" i="20" s="1"/>
  <c r="H24" i="20"/>
  <c r="I24" i="20" s="1"/>
  <c r="H25" i="20"/>
  <c r="I25" i="20" s="1"/>
  <c r="H23" i="20"/>
  <c r="I23" i="20" s="1"/>
  <c r="F25" i="20"/>
  <c r="G25" i="20" s="1"/>
  <c r="F27" i="20"/>
  <c r="G27" i="20" s="1"/>
  <c r="F28" i="20"/>
  <c r="G28" i="20" s="1"/>
  <c r="F22" i="20"/>
  <c r="F26" i="20"/>
  <c r="G26" i="20" s="1"/>
  <c r="F23" i="20"/>
  <c r="G23" i="20" s="1"/>
  <c r="G24" i="19"/>
  <c r="C31" i="19"/>
  <c r="B31" i="19" s="1"/>
  <c r="B33" i="19"/>
  <c r="D16" i="3" s="1"/>
  <c r="H22" i="19"/>
  <c r="I22" i="19" s="1"/>
  <c r="H28" i="19"/>
  <c r="I28" i="19" s="1"/>
  <c r="H25" i="19"/>
  <c r="I25" i="19" s="1"/>
  <c r="H27" i="19"/>
  <c r="I27" i="19" s="1"/>
  <c r="H26" i="19"/>
  <c r="I26" i="19" s="1"/>
  <c r="H23" i="19"/>
  <c r="I23" i="19" s="1"/>
  <c r="H24" i="19"/>
  <c r="I24" i="19" s="1"/>
  <c r="F25" i="19"/>
  <c r="G25" i="19" s="1"/>
  <c r="F27" i="19"/>
  <c r="G27" i="19" s="1"/>
  <c r="F28" i="19"/>
  <c r="G28" i="19" s="1"/>
  <c r="F22" i="19"/>
  <c r="G22" i="19" s="1"/>
  <c r="F26" i="19"/>
  <c r="G26" i="19" s="1"/>
  <c r="F23" i="19"/>
  <c r="G23" i="19" s="1"/>
  <c r="H40" i="18"/>
  <c r="G26" i="18"/>
  <c r="H26" i="18" s="1"/>
  <c r="G34" i="18"/>
  <c r="H34" i="18" s="1"/>
  <c r="G42" i="18"/>
  <c r="H42" i="18" s="1"/>
  <c r="I24" i="18"/>
  <c r="J24" i="18" s="1"/>
  <c r="I32" i="18"/>
  <c r="J32" i="18" s="1"/>
  <c r="I39" i="18"/>
  <c r="J39" i="18" s="1"/>
  <c r="G27" i="18"/>
  <c r="H27" i="18" s="1"/>
  <c r="G35" i="18"/>
  <c r="H35" i="18" s="1"/>
  <c r="G43" i="18"/>
  <c r="H43" i="18" s="1"/>
  <c r="I25" i="18"/>
  <c r="J25" i="18" s="1"/>
  <c r="I33" i="18"/>
  <c r="J33" i="18" s="1"/>
  <c r="I41" i="18"/>
  <c r="J41" i="18" s="1"/>
  <c r="G28" i="18"/>
  <c r="H28" i="18" s="1"/>
  <c r="G44" i="18"/>
  <c r="H44" i="18" s="1"/>
  <c r="I26" i="18"/>
  <c r="J26" i="18" s="1"/>
  <c r="I34" i="18"/>
  <c r="J34" i="18" s="1"/>
  <c r="I42" i="18"/>
  <c r="J42" i="18" s="1"/>
  <c r="G29" i="18"/>
  <c r="H29" i="18" s="1"/>
  <c r="G36" i="18"/>
  <c r="H36" i="18" s="1"/>
  <c r="I27" i="18"/>
  <c r="J27" i="18" s="1"/>
  <c r="I35" i="18"/>
  <c r="J35" i="18" s="1"/>
  <c r="I43" i="18"/>
  <c r="J43" i="18" s="1"/>
  <c r="G22" i="18"/>
  <c r="H22" i="18" s="1"/>
  <c r="G30" i="18"/>
  <c r="H30" i="18" s="1"/>
  <c r="G37" i="18"/>
  <c r="H37" i="18" s="1"/>
  <c r="G45" i="18"/>
  <c r="H45" i="18" s="1"/>
  <c r="I28" i="18"/>
  <c r="J28" i="18" s="1"/>
  <c r="I44" i="18"/>
  <c r="J44" i="18" s="1"/>
  <c r="G23" i="18"/>
  <c r="H23" i="18" s="1"/>
  <c r="G31" i="18"/>
  <c r="H31" i="18" s="1"/>
  <c r="G38" i="18"/>
  <c r="H38" i="18" s="1"/>
  <c r="G46" i="18"/>
  <c r="H46" i="18" s="1"/>
  <c r="I29" i="18"/>
  <c r="J29" i="18" s="1"/>
  <c r="I36" i="18"/>
  <c r="J36" i="18" s="1"/>
  <c r="G24" i="18"/>
  <c r="H24" i="18" s="1"/>
  <c r="G32" i="18"/>
  <c r="H32" i="18" s="1"/>
  <c r="G39" i="18"/>
  <c r="H39" i="18" s="1"/>
  <c r="I22" i="18"/>
  <c r="J22" i="18" s="1"/>
  <c r="I30" i="18"/>
  <c r="J30" i="18" s="1"/>
  <c r="I37" i="18"/>
  <c r="J37" i="18" s="1"/>
  <c r="I45" i="18"/>
  <c r="J45" i="18" s="1"/>
  <c r="G25" i="18"/>
  <c r="H25" i="18" s="1"/>
  <c r="G33" i="18"/>
  <c r="H33" i="18" s="1"/>
  <c r="I23" i="18"/>
  <c r="J23" i="18" s="1"/>
  <c r="I31" i="18"/>
  <c r="J31" i="18" s="1"/>
  <c r="I38" i="18"/>
  <c r="J38" i="18" s="1"/>
  <c r="J46" i="18"/>
  <c r="H41" i="18"/>
  <c r="I47" i="18"/>
  <c r="J47" i="18" s="1"/>
  <c r="I48" i="18"/>
  <c r="J48" i="18" s="1"/>
  <c r="I52" i="18"/>
  <c r="J52" i="18" s="1"/>
  <c r="I51" i="18"/>
  <c r="J51" i="18" s="1"/>
  <c r="I50" i="18"/>
  <c r="J50" i="18" s="1"/>
  <c r="I49" i="18"/>
  <c r="J49" i="18" s="1"/>
  <c r="B57" i="18"/>
  <c r="D7" i="3" s="1"/>
  <c r="G49" i="18"/>
  <c r="H49" i="18" s="1"/>
  <c r="G48" i="18"/>
  <c r="H48" i="18" s="1"/>
  <c r="G47" i="18"/>
  <c r="G52" i="18"/>
  <c r="H52" i="18" s="1"/>
  <c r="G51" i="18"/>
  <c r="H51" i="18" s="1"/>
  <c r="G50" i="18"/>
  <c r="H50" i="18" s="1"/>
  <c r="G24" i="17"/>
  <c r="H24" i="17" s="1"/>
  <c r="G26" i="17"/>
  <c r="H26" i="17" s="1"/>
  <c r="G23" i="17"/>
  <c r="H23" i="17" s="1"/>
  <c r="G22" i="17"/>
  <c r="H22" i="17" s="1"/>
  <c r="G28" i="17"/>
  <c r="H28" i="17" s="1"/>
  <c r="G25" i="17"/>
  <c r="H25" i="17" s="1"/>
  <c r="G27" i="17"/>
  <c r="H27" i="17" s="1"/>
  <c r="I26" i="17"/>
  <c r="J26" i="17" s="1"/>
  <c r="I23" i="17"/>
  <c r="J23" i="17" s="1"/>
  <c r="I24" i="17"/>
  <c r="J24" i="17" s="1"/>
  <c r="I28" i="17"/>
  <c r="J28" i="17" s="1"/>
  <c r="I25" i="17"/>
  <c r="J25" i="17" s="1"/>
  <c r="I22" i="17"/>
  <c r="J22" i="17" s="1"/>
  <c r="I27" i="17"/>
  <c r="J27" i="17" s="1"/>
  <c r="B33" i="17"/>
  <c r="D15" i="3" s="1"/>
  <c r="C31" i="17"/>
  <c r="B31" i="17" s="1"/>
  <c r="C30" i="17"/>
  <c r="B30" i="17" s="1"/>
  <c r="B39" i="31" l="1"/>
  <c r="F19" i="3" s="1"/>
  <c r="E19" i="3"/>
  <c r="B40" i="31"/>
  <c r="H19" i="3" s="1"/>
  <c r="G19" i="3"/>
  <c r="B36" i="22"/>
  <c r="I22" i="22"/>
  <c r="B35" i="22"/>
  <c r="B35" i="20"/>
  <c r="B34" i="20"/>
  <c r="G22" i="20"/>
  <c r="B34" i="19"/>
  <c r="B35" i="19"/>
  <c r="B58" i="18"/>
  <c r="H47" i="18"/>
  <c r="B59" i="18"/>
  <c r="B34" i="17"/>
  <c r="B35" i="17"/>
  <c r="B38" i="22" l="1"/>
  <c r="H18" i="3" s="1"/>
  <c r="G18" i="3"/>
  <c r="B37" i="22"/>
  <c r="F18" i="3" s="1"/>
  <c r="E18" i="3"/>
  <c r="B37" i="19"/>
  <c r="H16" i="3" s="1"/>
  <c r="G16" i="3"/>
  <c r="B36" i="19"/>
  <c r="F16" i="3" s="1"/>
  <c r="E16" i="3"/>
  <c r="B36" i="20"/>
  <c r="F17" i="3" s="1"/>
  <c r="E17" i="3"/>
  <c r="B37" i="20"/>
  <c r="H17" i="3" s="1"/>
  <c r="G17" i="3"/>
  <c r="B60" i="18"/>
  <c r="F7" i="3" s="1"/>
  <c r="E7" i="3"/>
  <c r="B61" i="18"/>
  <c r="H7" i="3" s="1"/>
  <c r="G7" i="3"/>
  <c r="B36" i="17"/>
  <c r="F15" i="3" s="1"/>
  <c r="E15" i="3"/>
  <c r="B37" i="17"/>
  <c r="H15" i="3" s="1"/>
  <c r="G15" i="3"/>
  <c r="B27" i="9" a="1"/>
  <c r="B27" i="9" s="1"/>
  <c r="D27" i="9" a="1"/>
  <c r="D27" i="9" s="1"/>
  <c r="E27" i="9" s="1"/>
  <c r="B28" i="9" a="1"/>
  <c r="B28" i="9" s="1"/>
  <c r="D28" i="9" a="1"/>
  <c r="D28" i="9" s="1"/>
  <c r="E28" i="9" s="1"/>
  <c r="D28" i="12" l="1" a="1"/>
  <c r="D28" i="12" s="1"/>
  <c r="B28" i="12" a="1"/>
  <c r="B28" i="12" s="1"/>
  <c r="D27" i="12" a="1"/>
  <c r="D27" i="12" s="1"/>
  <c r="B27" i="12" a="1"/>
  <c r="B27" i="12" s="1"/>
  <c r="D26" i="12" a="1"/>
  <c r="D26" i="12" s="1"/>
  <c r="B26" i="12" a="1"/>
  <c r="B26" i="12" s="1"/>
  <c r="D25" i="12" a="1"/>
  <c r="D25" i="12" s="1"/>
  <c r="B25" i="12" a="1"/>
  <c r="B25" i="12" s="1"/>
  <c r="D24" i="12" a="1"/>
  <c r="D24" i="12" s="1"/>
  <c r="B24" i="12" a="1"/>
  <c r="B24" i="12" s="1"/>
  <c r="D23" i="12" a="1"/>
  <c r="D23" i="12" s="1"/>
  <c r="B23" i="12" a="1"/>
  <c r="B23" i="12" s="1"/>
  <c r="D22" i="12" a="1"/>
  <c r="D22" i="12" s="1"/>
  <c r="B22" i="12" a="1"/>
  <c r="B22" i="12" s="1"/>
  <c r="B13" i="3"/>
  <c r="E25" i="12" l="1"/>
  <c r="E22" i="12"/>
  <c r="E26" i="12"/>
  <c r="E24" i="12"/>
  <c r="E23" i="12"/>
  <c r="E28" i="12"/>
  <c r="H22" i="12" s="1"/>
  <c r="E27" i="12"/>
  <c r="F22" i="12" s="1"/>
  <c r="D28" i="11" a="1"/>
  <c r="D28" i="11" s="1"/>
  <c r="B28" i="11" a="1"/>
  <c r="B28" i="11" s="1"/>
  <c r="D27" i="11" a="1"/>
  <c r="D27" i="11" s="1"/>
  <c r="B27" i="11" a="1"/>
  <c r="B27" i="11" s="1"/>
  <c r="D26" i="11" a="1"/>
  <c r="D26" i="11" s="1"/>
  <c r="E26" i="11" s="1"/>
  <c r="B26" i="11" a="1"/>
  <c r="B26" i="11" s="1"/>
  <c r="D25" i="11" a="1"/>
  <c r="D25" i="11" s="1"/>
  <c r="E25" i="11" s="1"/>
  <c r="B25" i="11" a="1"/>
  <c r="B25" i="11" s="1"/>
  <c r="D24" i="11" a="1"/>
  <c r="D24" i="11" s="1"/>
  <c r="E24" i="11" s="1"/>
  <c r="B24" i="11" a="1"/>
  <c r="B24" i="11" s="1"/>
  <c r="D23" i="11" a="1"/>
  <c r="D23" i="11" s="1"/>
  <c r="E23" i="11" s="1"/>
  <c r="B23" i="11" a="1"/>
  <c r="B23" i="11" s="1"/>
  <c r="D22" i="11" a="1"/>
  <c r="D22" i="11" s="1"/>
  <c r="E22" i="11" s="1"/>
  <c r="B22" i="11" a="1"/>
  <c r="B22" i="11" s="1"/>
  <c r="B12" i="3"/>
  <c r="B26" i="10" a="1"/>
  <c r="B26" i="10" s="1"/>
  <c r="B27" i="10" a="1"/>
  <c r="B27" i="10" s="1"/>
  <c r="D26" i="10" a="1"/>
  <c r="D26" i="10" s="1"/>
  <c r="E26" i="10" s="1"/>
  <c r="D27" i="10" a="1"/>
  <c r="D27" i="10" s="1"/>
  <c r="E27" i="10" s="1"/>
  <c r="D31" i="10" a="1"/>
  <c r="D31" i="10" s="1"/>
  <c r="E31" i="10" s="1"/>
  <c r="B31" i="10" a="1"/>
  <c r="B31" i="10" s="1"/>
  <c r="D30" i="10" a="1"/>
  <c r="D30" i="10" s="1"/>
  <c r="E30" i="10" s="1"/>
  <c r="B30" i="10" a="1"/>
  <c r="B30" i="10" s="1"/>
  <c r="D29" i="10" a="1"/>
  <c r="D29" i="10" s="1"/>
  <c r="E29" i="10" s="1"/>
  <c r="B29" i="10" a="1"/>
  <c r="B29" i="10" s="1"/>
  <c r="D25" i="10" a="1"/>
  <c r="D25" i="10" s="1"/>
  <c r="E25" i="10" s="1"/>
  <c r="B25" i="10" a="1"/>
  <c r="B25" i="10" s="1"/>
  <c r="D24" i="10" a="1"/>
  <c r="D24" i="10" s="1"/>
  <c r="E24" i="10" s="1"/>
  <c r="B24" i="10" a="1"/>
  <c r="B24" i="10" s="1"/>
  <c r="D23" i="10" a="1"/>
  <c r="D23" i="10" s="1"/>
  <c r="E23" i="10" s="1"/>
  <c r="B23" i="10" a="1"/>
  <c r="B23" i="10" s="1"/>
  <c r="D22" i="10" a="1"/>
  <c r="D22" i="10" s="1"/>
  <c r="E22" i="10" s="1"/>
  <c r="B22" i="10" a="1"/>
  <c r="B22" i="10" s="1"/>
  <c r="B10" i="3"/>
  <c r="B11" i="3"/>
  <c r="B9" i="3"/>
  <c r="D30" i="9" a="1"/>
  <c r="D30" i="9" s="1"/>
  <c r="E30" i="9" s="1"/>
  <c r="B30" i="9" a="1"/>
  <c r="B30" i="9" s="1"/>
  <c r="D29" i="9" a="1"/>
  <c r="D29" i="9" s="1"/>
  <c r="E29" i="9" s="1"/>
  <c r="B29" i="9" a="1"/>
  <c r="B29" i="9" s="1"/>
  <c r="D26" i="9" a="1"/>
  <c r="D26" i="9" s="1"/>
  <c r="E26" i="9" s="1"/>
  <c r="B26" i="9" a="1"/>
  <c r="B26" i="9" s="1"/>
  <c r="D25" i="9" a="1"/>
  <c r="D25" i="9" s="1"/>
  <c r="E25" i="9" s="1"/>
  <c r="B25" i="9" a="1"/>
  <c r="B25" i="9" s="1"/>
  <c r="D24" i="9" a="1"/>
  <c r="D24" i="9" s="1"/>
  <c r="E24" i="9" s="1"/>
  <c r="B24" i="9" a="1"/>
  <c r="B24" i="9" s="1"/>
  <c r="D23" i="9" a="1"/>
  <c r="D23" i="9" s="1"/>
  <c r="E23" i="9" s="1"/>
  <c r="B23" i="9" a="1"/>
  <c r="B23" i="9" s="1"/>
  <c r="D22" i="9" a="1"/>
  <c r="D22" i="9" s="1"/>
  <c r="E22" i="9" s="1"/>
  <c r="B22" i="9" a="1"/>
  <c r="B22" i="9" s="1"/>
  <c r="D28" i="8" a="1"/>
  <c r="D28" i="8" s="1"/>
  <c r="E28" i="8" s="1"/>
  <c r="B28" i="8" a="1"/>
  <c r="B28" i="8" s="1"/>
  <c r="D27" i="8" a="1"/>
  <c r="D27" i="8" s="1"/>
  <c r="E27" i="8" s="1"/>
  <c r="B27" i="8" a="1"/>
  <c r="B27" i="8" s="1"/>
  <c r="D26" i="8" a="1"/>
  <c r="D26" i="8" s="1"/>
  <c r="E26" i="8" s="1"/>
  <c r="B26" i="8" a="1"/>
  <c r="B26" i="8" s="1"/>
  <c r="D25" i="8" a="1"/>
  <c r="D25" i="8" s="1"/>
  <c r="E25" i="8" s="1"/>
  <c r="B25" i="8" a="1"/>
  <c r="B25" i="8" s="1"/>
  <c r="D24" i="8" a="1"/>
  <c r="D24" i="8" s="1"/>
  <c r="E24" i="8" s="1"/>
  <c r="B24" i="8" a="1"/>
  <c r="B24" i="8" s="1"/>
  <c r="D23" i="8" a="1"/>
  <c r="D23" i="8" s="1"/>
  <c r="E23" i="8" s="1"/>
  <c r="B23" i="8" a="1"/>
  <c r="B23" i="8" s="1"/>
  <c r="D22" i="8" a="1"/>
  <c r="D22" i="8" s="1"/>
  <c r="E22" i="8" s="1"/>
  <c r="B22" i="8" a="1"/>
  <c r="B22" i="8" s="1"/>
  <c r="D28" i="7" a="1"/>
  <c r="D28" i="7" s="1"/>
  <c r="E28" i="7" s="1"/>
  <c r="B28" i="7" a="1"/>
  <c r="B28" i="7" s="1"/>
  <c r="D27" i="7" a="1"/>
  <c r="D27" i="7" s="1"/>
  <c r="E27" i="7" s="1"/>
  <c r="B27" i="7" a="1"/>
  <c r="B27" i="7" s="1"/>
  <c r="D26" i="7" a="1"/>
  <c r="D26" i="7" s="1"/>
  <c r="E26" i="7" s="1"/>
  <c r="B26" i="7" a="1"/>
  <c r="B26" i="7" s="1"/>
  <c r="D25" i="7" a="1"/>
  <c r="D25" i="7" s="1"/>
  <c r="E25" i="7" s="1"/>
  <c r="B25" i="7" a="1"/>
  <c r="B25" i="7" s="1"/>
  <c r="D24" i="7" a="1"/>
  <c r="D24" i="7" s="1"/>
  <c r="E24" i="7" s="1"/>
  <c r="B24" i="7" a="1"/>
  <c r="B24" i="7" s="1"/>
  <c r="D23" i="7" a="1"/>
  <c r="D23" i="7" s="1"/>
  <c r="E23" i="7" s="1"/>
  <c r="B23" i="7" a="1"/>
  <c r="B23" i="7" s="1"/>
  <c r="D22" i="7" a="1"/>
  <c r="D22" i="7" s="1"/>
  <c r="E22" i="7" s="1"/>
  <c r="B22" i="7" a="1"/>
  <c r="B22" i="7" s="1"/>
  <c r="B28" i="4" a="1"/>
  <c r="B28" i="4" s="1"/>
  <c r="D28" i="4" a="1"/>
  <c r="D28" i="4" s="1"/>
  <c r="E28" i="4" s="1"/>
  <c r="H22" i="4" s="1"/>
  <c r="F26" i="10" l="1"/>
  <c r="F28" i="10"/>
  <c r="G28" i="10" s="1"/>
  <c r="H26" i="10"/>
  <c r="I26" i="10" s="1"/>
  <c r="H28" i="10"/>
  <c r="I28" i="10" s="1"/>
  <c r="I22" i="12"/>
  <c r="F28" i="9"/>
  <c r="G28" i="9" s="1"/>
  <c r="F27" i="9"/>
  <c r="G27" i="9" s="1"/>
  <c r="H28" i="9"/>
  <c r="I28" i="9" s="1"/>
  <c r="H27" i="9"/>
  <c r="I27" i="9" s="1"/>
  <c r="C33" i="9"/>
  <c r="B33" i="9" s="1"/>
  <c r="C32" i="9"/>
  <c r="B32" i="9" s="1"/>
  <c r="C30" i="8"/>
  <c r="B30" i="8" s="1"/>
  <c r="C31" i="8"/>
  <c r="B31" i="8" s="1"/>
  <c r="C31" i="7"/>
  <c r="B31" i="7" s="1"/>
  <c r="C30" i="7"/>
  <c r="B30" i="7" s="1"/>
  <c r="C31" i="11"/>
  <c r="B31" i="11" s="1"/>
  <c r="C30" i="11"/>
  <c r="B30" i="11" s="1"/>
  <c r="C33" i="10"/>
  <c r="B33" i="10" s="1"/>
  <c r="C34" i="10"/>
  <c r="B34" i="10" s="1"/>
  <c r="C30" i="12"/>
  <c r="B30" i="12" s="1"/>
  <c r="C31" i="12"/>
  <c r="B31" i="12" s="1"/>
  <c r="H23" i="12"/>
  <c r="I23" i="12" s="1"/>
  <c r="H24" i="12"/>
  <c r="I24" i="12" s="1"/>
  <c r="H25" i="12"/>
  <c r="I25" i="12" s="1"/>
  <c r="H26" i="12"/>
  <c r="I26" i="12" s="1"/>
  <c r="H28" i="12"/>
  <c r="I28" i="12" s="1"/>
  <c r="H27" i="12"/>
  <c r="I27" i="12" s="1"/>
  <c r="F26" i="12"/>
  <c r="G26" i="12" s="1"/>
  <c r="F23" i="12"/>
  <c r="G23" i="12" s="1"/>
  <c r="B33" i="12"/>
  <c r="D14" i="3" s="1"/>
  <c r="F25" i="12"/>
  <c r="G25" i="12" s="1"/>
  <c r="F27" i="12"/>
  <c r="G27" i="12" s="1"/>
  <c r="F24" i="12"/>
  <c r="G24" i="12" s="1"/>
  <c r="F28" i="12"/>
  <c r="G28" i="12" s="1"/>
  <c r="G22" i="12"/>
  <c r="E27" i="11"/>
  <c r="F25" i="11" s="1"/>
  <c r="G25" i="11" s="1"/>
  <c r="E28" i="11"/>
  <c r="H23" i="11" s="1"/>
  <c r="I23" i="11" s="1"/>
  <c r="H27" i="10"/>
  <c r="I27" i="10" s="1"/>
  <c r="G26" i="10"/>
  <c r="F27" i="10"/>
  <c r="G27" i="10" s="1"/>
  <c r="B36" i="10"/>
  <c r="D12" i="3" s="1"/>
  <c r="H29" i="10"/>
  <c r="I29" i="10" s="1"/>
  <c r="H25" i="10"/>
  <c r="I25" i="10" s="1"/>
  <c r="H24" i="10"/>
  <c r="I24" i="10" s="1"/>
  <c r="H23" i="10"/>
  <c r="I23" i="10" s="1"/>
  <c r="H22" i="10"/>
  <c r="I22" i="10" s="1"/>
  <c r="H31" i="10"/>
  <c r="I31" i="10" s="1"/>
  <c r="H30" i="10"/>
  <c r="I30" i="10" s="1"/>
  <c r="F31" i="10"/>
  <c r="G31" i="10" s="1"/>
  <c r="F30" i="10"/>
  <c r="G30" i="10" s="1"/>
  <c r="F29" i="10"/>
  <c r="G29" i="10" s="1"/>
  <c r="F25" i="10"/>
  <c r="G25" i="10" s="1"/>
  <c r="F24" i="10"/>
  <c r="G24" i="10" s="1"/>
  <c r="F23" i="10"/>
  <c r="G23" i="10" s="1"/>
  <c r="F22" i="10"/>
  <c r="H26" i="9"/>
  <c r="I26" i="9" s="1"/>
  <c r="H22" i="9"/>
  <c r="H25" i="9"/>
  <c r="I25" i="9" s="1"/>
  <c r="H24" i="9"/>
  <c r="I24" i="9" s="1"/>
  <c r="H23" i="9"/>
  <c r="I23" i="9" s="1"/>
  <c r="H29" i="9"/>
  <c r="I29" i="9" s="1"/>
  <c r="H30" i="9"/>
  <c r="I30" i="9" s="1"/>
  <c r="F30" i="9"/>
  <c r="G30" i="9" s="1"/>
  <c r="F24" i="9"/>
  <c r="G24" i="9" s="1"/>
  <c r="F22" i="9"/>
  <c r="F29" i="9"/>
  <c r="G29" i="9" s="1"/>
  <c r="F26" i="9"/>
  <c r="G26" i="9" s="1"/>
  <c r="F25" i="9"/>
  <c r="G25" i="9" s="1"/>
  <c r="F23" i="9"/>
  <c r="G23" i="9" s="1"/>
  <c r="B35" i="9"/>
  <c r="D11" i="3" s="1"/>
  <c r="H26" i="8"/>
  <c r="I26" i="8" s="1"/>
  <c r="H25" i="8"/>
  <c r="I25" i="8" s="1"/>
  <c r="H24" i="8"/>
  <c r="I24" i="8" s="1"/>
  <c r="H23" i="8"/>
  <c r="I23" i="8" s="1"/>
  <c r="H28" i="8"/>
  <c r="I28" i="8" s="1"/>
  <c r="H22" i="8"/>
  <c r="I22" i="8" s="1"/>
  <c r="H27" i="8"/>
  <c r="I27" i="8" s="1"/>
  <c r="F28" i="8"/>
  <c r="G28" i="8" s="1"/>
  <c r="F27" i="8"/>
  <c r="G27" i="8" s="1"/>
  <c r="F26" i="8"/>
  <c r="G26" i="8" s="1"/>
  <c r="F25" i="8"/>
  <c r="G25" i="8" s="1"/>
  <c r="F23" i="8"/>
  <c r="G23" i="8" s="1"/>
  <c r="F24" i="8"/>
  <c r="G24" i="8" s="1"/>
  <c r="F22" i="8"/>
  <c r="G22" i="8" s="1"/>
  <c r="B33" i="8"/>
  <c r="D10" i="3" s="1"/>
  <c r="H26" i="7"/>
  <c r="I26" i="7" s="1"/>
  <c r="H23" i="7"/>
  <c r="I23" i="7" s="1"/>
  <c r="H25" i="7"/>
  <c r="I25" i="7" s="1"/>
  <c r="H24" i="7"/>
  <c r="I24" i="7" s="1"/>
  <c r="H22" i="7"/>
  <c r="I22" i="7" s="1"/>
  <c r="H27" i="7"/>
  <c r="I27" i="7" s="1"/>
  <c r="H28" i="7"/>
  <c r="I28" i="7" s="1"/>
  <c r="F28" i="7"/>
  <c r="G28" i="7" s="1"/>
  <c r="F25" i="7"/>
  <c r="G25" i="7" s="1"/>
  <c r="F27" i="7"/>
  <c r="G27" i="7" s="1"/>
  <c r="F26" i="7"/>
  <c r="G26" i="7" s="1"/>
  <c r="F24" i="7"/>
  <c r="G24" i="7" s="1"/>
  <c r="F23" i="7"/>
  <c r="G23" i="7" s="1"/>
  <c r="F22" i="7"/>
  <c r="G22" i="7" s="1"/>
  <c r="B33" i="7"/>
  <c r="D9" i="3" s="1"/>
  <c r="H28" i="4"/>
  <c r="I28" i="4" s="1"/>
  <c r="H27" i="4"/>
  <c r="H23" i="4"/>
  <c r="H26" i="4"/>
  <c r="H25" i="4"/>
  <c r="H24" i="4"/>
  <c r="B35" i="12" l="1"/>
  <c r="B34" i="12"/>
  <c r="H24" i="11"/>
  <c r="I24" i="11" s="1"/>
  <c r="H25" i="11"/>
  <c r="I25" i="11" s="1"/>
  <c r="H27" i="11"/>
  <c r="I27" i="11" s="1"/>
  <c r="H26" i="11"/>
  <c r="I26" i="11" s="1"/>
  <c r="H28" i="11"/>
  <c r="I28" i="11" s="1"/>
  <c r="H22" i="11"/>
  <c r="I22" i="11" s="1"/>
  <c r="B33" i="11"/>
  <c r="D13" i="3" s="1"/>
  <c r="F28" i="11"/>
  <c r="G28" i="11" s="1"/>
  <c r="F24" i="11"/>
  <c r="G24" i="11" s="1"/>
  <c r="F22" i="11"/>
  <c r="F26" i="11"/>
  <c r="G26" i="11" s="1"/>
  <c r="F27" i="11"/>
  <c r="G27" i="11" s="1"/>
  <c r="F23" i="11"/>
  <c r="G23" i="11" s="1"/>
  <c r="B35" i="4"/>
  <c r="G8" i="3" s="1"/>
  <c r="B37" i="10"/>
  <c r="B39" i="10"/>
  <c r="G22" i="10"/>
  <c r="B37" i="9"/>
  <c r="B36" i="9"/>
  <c r="I22" i="9"/>
  <c r="G22" i="9"/>
  <c r="B35" i="8"/>
  <c r="B34" i="8"/>
  <c r="B35" i="7"/>
  <c r="B34" i="7"/>
  <c r="B36" i="7" s="1"/>
  <c r="F9" i="3" s="1"/>
  <c r="B36" i="12" l="1"/>
  <c r="F14" i="3" s="1"/>
  <c r="E14" i="3"/>
  <c r="B37" i="12"/>
  <c r="H14" i="3" s="1"/>
  <c r="G14" i="3"/>
  <c r="B34" i="11"/>
  <c r="B35" i="11"/>
  <c r="G22" i="11"/>
  <c r="B40" i="10"/>
  <c r="H12" i="3" s="1"/>
  <c r="G12" i="3"/>
  <c r="B38" i="10"/>
  <c r="F12" i="3" s="1"/>
  <c r="E12" i="3"/>
  <c r="B37" i="8"/>
  <c r="H10" i="3" s="1"/>
  <c r="G10" i="3"/>
  <c r="B36" i="8"/>
  <c r="F10" i="3" s="1"/>
  <c r="E10" i="3"/>
  <c r="B38" i="9"/>
  <c r="F11" i="3" s="1"/>
  <c r="E11" i="3"/>
  <c r="B39" i="9"/>
  <c r="H11" i="3" s="1"/>
  <c r="G11" i="3"/>
  <c r="B37" i="7"/>
  <c r="H9" i="3" s="1"/>
  <c r="G9" i="3"/>
  <c r="B8" i="3"/>
  <c r="D27" i="4" a="1"/>
  <c r="D27" i="4" s="1"/>
  <c r="E27" i="4" s="1"/>
  <c r="I27" i="4" s="1"/>
  <c r="B27" i="4" a="1"/>
  <c r="B27" i="4" s="1"/>
  <c r="D26" i="4" a="1"/>
  <c r="D26" i="4" s="1"/>
  <c r="E26" i="4" s="1"/>
  <c r="I26" i="4" s="1"/>
  <c r="B26" i="4" a="1"/>
  <c r="B26" i="4" s="1"/>
  <c r="D25" i="4" a="1"/>
  <c r="D25" i="4" s="1"/>
  <c r="E25" i="4" s="1"/>
  <c r="I25" i="4" s="1"/>
  <c r="B25" i="4" a="1"/>
  <c r="B25" i="4" s="1"/>
  <c r="D24" i="4" a="1"/>
  <c r="D24" i="4" s="1"/>
  <c r="E24" i="4" s="1"/>
  <c r="I24" i="4" s="1"/>
  <c r="B24" i="4" a="1"/>
  <c r="B24" i="4" s="1"/>
  <c r="D23" i="4" a="1"/>
  <c r="D23" i="4" s="1"/>
  <c r="E23" i="4" s="1"/>
  <c r="I23" i="4" s="1"/>
  <c r="B23" i="4" a="1"/>
  <c r="B23" i="4" s="1"/>
  <c r="D22" i="4" a="1"/>
  <c r="D22" i="4" s="1"/>
  <c r="E22" i="4" s="1"/>
  <c r="B22" i="4" a="1"/>
  <c r="B22" i="4" s="1"/>
  <c r="C30" i="4" l="1"/>
  <c r="B30" i="4" s="1"/>
  <c r="I22" i="4"/>
  <c r="C31" i="4"/>
  <c r="B31" i="4" s="1"/>
  <c r="B37" i="11"/>
  <c r="H13" i="3" s="1"/>
  <c r="G13" i="3"/>
  <c r="G4" i="3" s="1"/>
  <c r="B36" i="11"/>
  <c r="F13" i="3" s="1"/>
  <c r="E13" i="3"/>
  <c r="F25" i="4"/>
  <c r="F28" i="4"/>
  <c r="G28" i="4" s="1"/>
  <c r="F24" i="4"/>
  <c r="G24" i="4" s="1"/>
  <c r="F23" i="4"/>
  <c r="F22" i="4"/>
  <c r="G22" i="4" s="1"/>
  <c r="F27" i="4"/>
  <c r="G27" i="4" s="1"/>
  <c r="F26" i="4"/>
  <c r="G26" i="4" s="1"/>
  <c r="B33" i="4"/>
  <c r="B37" i="4" s="1"/>
  <c r="H8" i="3" s="1"/>
  <c r="H4" i="3" l="1"/>
  <c r="D8" i="3"/>
  <c r="G23" i="4"/>
  <c r="G25" i="4"/>
  <c r="D4" i="3" l="1"/>
  <c r="B34" i="4"/>
  <c r="E9" i="3" s="1"/>
  <c r="E8" i="3" l="1"/>
  <c r="B36" i="4"/>
  <c r="F8" i="3" s="1"/>
  <c r="F4" i="3" s="1"/>
  <c r="E4" i="3"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91">
    <bk>
      <extLst>
        <ext uri="{3e2802c4-a4d2-4d8b-9148-e3be6c30e623}">
          <xlrd:rvb i="2"/>
        </ext>
      </extLst>
    </bk>
    <bk>
      <extLst>
        <ext uri="{3e2802c4-a4d2-4d8b-9148-e3be6c30e623}">
          <xlrd:rvb i="5"/>
        </ext>
      </extLst>
    </bk>
    <bk>
      <extLst>
        <ext uri="{3e2802c4-a4d2-4d8b-9148-e3be6c30e623}">
          <xlrd:rvb i="8"/>
        </ext>
      </extLst>
    </bk>
    <bk>
      <extLst>
        <ext uri="{3e2802c4-a4d2-4d8b-9148-e3be6c30e623}">
          <xlrd:rvb i="11"/>
        </ext>
      </extLst>
    </bk>
    <bk>
      <extLst>
        <ext uri="{3e2802c4-a4d2-4d8b-9148-e3be6c30e623}">
          <xlrd:rvb i="14"/>
        </ext>
      </extLst>
    </bk>
    <bk>
      <extLst>
        <ext uri="{3e2802c4-a4d2-4d8b-9148-e3be6c30e623}">
          <xlrd:rvb i="17"/>
        </ext>
      </extLst>
    </bk>
    <bk>
      <extLst>
        <ext uri="{3e2802c4-a4d2-4d8b-9148-e3be6c30e623}">
          <xlrd:rvb i="20"/>
        </ext>
      </extLst>
    </bk>
    <bk>
      <extLst>
        <ext uri="{3e2802c4-a4d2-4d8b-9148-e3be6c30e623}">
          <xlrd:rvb i="23"/>
        </ext>
      </extLst>
    </bk>
    <bk>
      <extLst>
        <ext uri="{3e2802c4-a4d2-4d8b-9148-e3be6c30e623}">
          <xlrd:rvb i="26"/>
        </ext>
      </extLst>
    </bk>
    <bk>
      <extLst>
        <ext uri="{3e2802c4-a4d2-4d8b-9148-e3be6c30e623}">
          <xlrd:rvb i="33"/>
        </ext>
      </extLst>
    </bk>
    <bk>
      <extLst>
        <ext uri="{3e2802c4-a4d2-4d8b-9148-e3be6c30e623}">
          <xlrd:rvb i="39"/>
        </ext>
      </extLst>
    </bk>
    <bk>
      <extLst>
        <ext uri="{3e2802c4-a4d2-4d8b-9148-e3be6c30e623}">
          <xlrd:rvb i="42"/>
        </ext>
      </extLst>
    </bk>
    <bk>
      <extLst>
        <ext uri="{3e2802c4-a4d2-4d8b-9148-e3be6c30e623}">
          <xlrd:rvb i="45"/>
        </ext>
      </extLst>
    </bk>
    <bk>
      <extLst>
        <ext uri="{3e2802c4-a4d2-4d8b-9148-e3be6c30e623}">
          <xlrd:rvb i="48"/>
        </ext>
      </extLst>
    </bk>
    <bk>
      <extLst>
        <ext uri="{3e2802c4-a4d2-4d8b-9148-e3be6c30e623}">
          <xlrd:rvb i="51"/>
        </ext>
      </extLst>
    </bk>
    <bk>
      <extLst>
        <ext uri="{3e2802c4-a4d2-4d8b-9148-e3be6c30e623}">
          <xlrd:rvb i="54"/>
        </ext>
      </extLst>
    </bk>
    <bk>
      <extLst>
        <ext uri="{3e2802c4-a4d2-4d8b-9148-e3be6c30e623}">
          <xlrd:rvb i="57"/>
        </ext>
      </extLst>
    </bk>
    <bk>
      <extLst>
        <ext uri="{3e2802c4-a4d2-4d8b-9148-e3be6c30e623}">
          <xlrd:rvb i="60"/>
        </ext>
      </extLst>
    </bk>
    <bk>
      <extLst>
        <ext uri="{3e2802c4-a4d2-4d8b-9148-e3be6c30e623}">
          <xlrd:rvb i="63"/>
        </ext>
      </extLst>
    </bk>
    <bk>
      <extLst>
        <ext uri="{3e2802c4-a4d2-4d8b-9148-e3be6c30e623}">
          <xlrd:rvb i="66"/>
        </ext>
      </extLst>
    </bk>
    <bk>
      <extLst>
        <ext uri="{3e2802c4-a4d2-4d8b-9148-e3be6c30e623}">
          <xlrd:rvb i="69"/>
        </ext>
      </extLst>
    </bk>
    <bk>
      <extLst>
        <ext uri="{3e2802c4-a4d2-4d8b-9148-e3be6c30e623}">
          <xlrd:rvb i="72"/>
        </ext>
      </extLst>
    </bk>
    <bk>
      <extLst>
        <ext uri="{3e2802c4-a4d2-4d8b-9148-e3be6c30e623}">
          <xlrd:rvb i="75"/>
        </ext>
      </extLst>
    </bk>
    <bk>
      <extLst>
        <ext uri="{3e2802c4-a4d2-4d8b-9148-e3be6c30e623}">
          <xlrd:rvb i="78"/>
        </ext>
      </extLst>
    </bk>
    <bk>
      <extLst>
        <ext uri="{3e2802c4-a4d2-4d8b-9148-e3be6c30e623}">
          <xlrd:rvb i="81"/>
        </ext>
      </extLst>
    </bk>
    <bk>
      <extLst>
        <ext uri="{3e2802c4-a4d2-4d8b-9148-e3be6c30e623}">
          <xlrd:rvb i="84"/>
        </ext>
      </extLst>
    </bk>
    <bk>
      <extLst>
        <ext uri="{3e2802c4-a4d2-4d8b-9148-e3be6c30e623}">
          <xlrd:rvb i="87"/>
        </ext>
      </extLst>
    </bk>
    <bk>
      <extLst>
        <ext uri="{3e2802c4-a4d2-4d8b-9148-e3be6c30e623}">
          <xlrd:rvb i="90"/>
        </ext>
      </extLst>
    </bk>
    <bk>
      <extLst>
        <ext uri="{3e2802c4-a4d2-4d8b-9148-e3be6c30e623}">
          <xlrd:rvb i="93"/>
        </ext>
      </extLst>
    </bk>
    <bk>
      <extLst>
        <ext uri="{3e2802c4-a4d2-4d8b-9148-e3be6c30e623}">
          <xlrd:rvb i="96"/>
        </ext>
      </extLst>
    </bk>
    <bk>
      <extLst>
        <ext uri="{3e2802c4-a4d2-4d8b-9148-e3be6c30e623}">
          <xlrd:rvb i="99"/>
        </ext>
      </extLst>
    </bk>
    <bk>
      <extLst>
        <ext uri="{3e2802c4-a4d2-4d8b-9148-e3be6c30e623}">
          <xlrd:rvb i="102"/>
        </ext>
      </extLst>
    </bk>
    <bk>
      <extLst>
        <ext uri="{3e2802c4-a4d2-4d8b-9148-e3be6c30e623}">
          <xlrd:rvb i="105"/>
        </ext>
      </extLst>
    </bk>
    <bk>
      <extLst>
        <ext uri="{3e2802c4-a4d2-4d8b-9148-e3be6c30e623}">
          <xlrd:rvb i="108"/>
        </ext>
      </extLst>
    </bk>
    <bk>
      <extLst>
        <ext uri="{3e2802c4-a4d2-4d8b-9148-e3be6c30e623}">
          <xlrd:rvb i="111"/>
        </ext>
      </extLst>
    </bk>
    <bk>
      <extLst>
        <ext uri="{3e2802c4-a4d2-4d8b-9148-e3be6c30e623}">
          <xlrd:rvb i="114"/>
        </ext>
      </extLst>
    </bk>
    <bk>
      <extLst>
        <ext uri="{3e2802c4-a4d2-4d8b-9148-e3be6c30e623}">
          <xlrd:rvb i="117"/>
        </ext>
      </extLst>
    </bk>
    <bk>
      <extLst>
        <ext uri="{3e2802c4-a4d2-4d8b-9148-e3be6c30e623}">
          <xlrd:rvb i="120"/>
        </ext>
      </extLst>
    </bk>
    <bk>
      <extLst>
        <ext uri="{3e2802c4-a4d2-4d8b-9148-e3be6c30e623}">
          <xlrd:rvb i="123"/>
        </ext>
      </extLst>
    </bk>
    <bk>
      <extLst>
        <ext uri="{3e2802c4-a4d2-4d8b-9148-e3be6c30e623}">
          <xlrd:rvb i="126"/>
        </ext>
      </extLst>
    </bk>
    <bk>
      <extLst>
        <ext uri="{3e2802c4-a4d2-4d8b-9148-e3be6c30e623}">
          <xlrd:rvb i="129"/>
        </ext>
      </extLst>
    </bk>
    <bk>
      <extLst>
        <ext uri="{3e2802c4-a4d2-4d8b-9148-e3be6c30e623}">
          <xlrd:rvb i="132"/>
        </ext>
      </extLst>
    </bk>
    <bk>
      <extLst>
        <ext uri="{3e2802c4-a4d2-4d8b-9148-e3be6c30e623}">
          <xlrd:rvb i="135"/>
        </ext>
      </extLst>
    </bk>
    <bk>
      <extLst>
        <ext uri="{3e2802c4-a4d2-4d8b-9148-e3be6c30e623}">
          <xlrd:rvb i="138"/>
        </ext>
      </extLst>
    </bk>
    <bk>
      <extLst>
        <ext uri="{3e2802c4-a4d2-4d8b-9148-e3be6c30e623}">
          <xlrd:rvb i="141"/>
        </ext>
      </extLst>
    </bk>
    <bk>
      <extLst>
        <ext uri="{3e2802c4-a4d2-4d8b-9148-e3be6c30e623}">
          <xlrd:rvb i="144"/>
        </ext>
      </extLst>
    </bk>
    <bk>
      <extLst>
        <ext uri="{3e2802c4-a4d2-4d8b-9148-e3be6c30e623}">
          <xlrd:rvb i="147"/>
        </ext>
      </extLst>
    </bk>
    <bk>
      <extLst>
        <ext uri="{3e2802c4-a4d2-4d8b-9148-e3be6c30e623}">
          <xlrd:rvb i="150"/>
        </ext>
      </extLst>
    </bk>
    <bk>
      <extLst>
        <ext uri="{3e2802c4-a4d2-4d8b-9148-e3be6c30e623}">
          <xlrd:rvb i="153"/>
        </ext>
      </extLst>
    </bk>
    <bk>
      <extLst>
        <ext uri="{3e2802c4-a4d2-4d8b-9148-e3be6c30e623}">
          <xlrd:rvb i="156"/>
        </ext>
      </extLst>
    </bk>
    <bk>
      <extLst>
        <ext uri="{3e2802c4-a4d2-4d8b-9148-e3be6c30e623}">
          <xlrd:rvb i="159"/>
        </ext>
      </extLst>
    </bk>
    <bk>
      <extLst>
        <ext uri="{3e2802c4-a4d2-4d8b-9148-e3be6c30e623}">
          <xlrd:rvb i="162"/>
        </ext>
      </extLst>
    </bk>
    <bk>
      <extLst>
        <ext uri="{3e2802c4-a4d2-4d8b-9148-e3be6c30e623}">
          <xlrd:rvb i="165"/>
        </ext>
      </extLst>
    </bk>
    <bk>
      <extLst>
        <ext uri="{3e2802c4-a4d2-4d8b-9148-e3be6c30e623}">
          <xlrd:rvb i="168"/>
        </ext>
      </extLst>
    </bk>
    <bk>
      <extLst>
        <ext uri="{3e2802c4-a4d2-4d8b-9148-e3be6c30e623}">
          <xlrd:rvb i="171"/>
        </ext>
      </extLst>
    </bk>
    <bk>
      <extLst>
        <ext uri="{3e2802c4-a4d2-4d8b-9148-e3be6c30e623}">
          <xlrd:rvb i="174"/>
        </ext>
      </extLst>
    </bk>
    <bk>
      <extLst>
        <ext uri="{3e2802c4-a4d2-4d8b-9148-e3be6c30e623}">
          <xlrd:rvb i="177"/>
        </ext>
      </extLst>
    </bk>
    <bk>
      <extLst>
        <ext uri="{3e2802c4-a4d2-4d8b-9148-e3be6c30e623}">
          <xlrd:rvb i="180"/>
        </ext>
      </extLst>
    </bk>
    <bk>
      <extLst>
        <ext uri="{3e2802c4-a4d2-4d8b-9148-e3be6c30e623}">
          <xlrd:rvb i="183"/>
        </ext>
      </extLst>
    </bk>
    <bk>
      <extLst>
        <ext uri="{3e2802c4-a4d2-4d8b-9148-e3be6c30e623}">
          <xlrd:rvb i="186"/>
        </ext>
      </extLst>
    </bk>
    <bk>
      <extLst>
        <ext uri="{3e2802c4-a4d2-4d8b-9148-e3be6c30e623}">
          <xlrd:rvb i="189"/>
        </ext>
      </extLst>
    </bk>
    <bk>
      <extLst>
        <ext uri="{3e2802c4-a4d2-4d8b-9148-e3be6c30e623}">
          <xlrd:rvb i="192"/>
        </ext>
      </extLst>
    </bk>
    <bk>
      <extLst>
        <ext uri="{3e2802c4-a4d2-4d8b-9148-e3be6c30e623}">
          <xlrd:rvb i="195"/>
        </ext>
      </extLst>
    </bk>
    <bk>
      <extLst>
        <ext uri="{3e2802c4-a4d2-4d8b-9148-e3be6c30e623}">
          <xlrd:rvb i="198"/>
        </ext>
      </extLst>
    </bk>
    <bk>
      <extLst>
        <ext uri="{3e2802c4-a4d2-4d8b-9148-e3be6c30e623}">
          <xlrd:rvb i="201"/>
        </ext>
      </extLst>
    </bk>
    <bk>
      <extLst>
        <ext uri="{3e2802c4-a4d2-4d8b-9148-e3be6c30e623}">
          <xlrd:rvb i="207"/>
        </ext>
      </extLst>
    </bk>
    <bk>
      <extLst>
        <ext uri="{3e2802c4-a4d2-4d8b-9148-e3be6c30e623}">
          <xlrd:rvb i="210"/>
        </ext>
      </extLst>
    </bk>
    <bk>
      <extLst>
        <ext uri="{3e2802c4-a4d2-4d8b-9148-e3be6c30e623}">
          <xlrd:rvb i="213"/>
        </ext>
      </extLst>
    </bk>
    <bk>
      <extLst>
        <ext uri="{3e2802c4-a4d2-4d8b-9148-e3be6c30e623}">
          <xlrd:rvb i="216"/>
        </ext>
      </extLst>
    </bk>
    <bk>
      <extLst>
        <ext uri="{3e2802c4-a4d2-4d8b-9148-e3be6c30e623}">
          <xlrd:rvb i="219"/>
        </ext>
      </extLst>
    </bk>
    <bk>
      <extLst>
        <ext uri="{3e2802c4-a4d2-4d8b-9148-e3be6c30e623}">
          <xlrd:rvb i="222"/>
        </ext>
      </extLst>
    </bk>
    <bk>
      <extLst>
        <ext uri="{3e2802c4-a4d2-4d8b-9148-e3be6c30e623}">
          <xlrd:rvb i="225"/>
        </ext>
      </extLst>
    </bk>
    <bk>
      <extLst>
        <ext uri="{3e2802c4-a4d2-4d8b-9148-e3be6c30e623}">
          <xlrd:rvb i="228"/>
        </ext>
      </extLst>
    </bk>
    <bk>
      <extLst>
        <ext uri="{3e2802c4-a4d2-4d8b-9148-e3be6c30e623}">
          <xlrd:rvb i="231"/>
        </ext>
      </extLst>
    </bk>
    <bk>
      <extLst>
        <ext uri="{3e2802c4-a4d2-4d8b-9148-e3be6c30e623}">
          <xlrd:rvb i="234"/>
        </ext>
      </extLst>
    </bk>
    <bk>
      <extLst>
        <ext uri="{3e2802c4-a4d2-4d8b-9148-e3be6c30e623}">
          <xlrd:rvb i="237"/>
        </ext>
      </extLst>
    </bk>
    <bk>
      <extLst>
        <ext uri="{3e2802c4-a4d2-4d8b-9148-e3be6c30e623}">
          <xlrd:rvb i="243"/>
        </ext>
      </extLst>
    </bk>
    <bk>
      <extLst>
        <ext uri="{3e2802c4-a4d2-4d8b-9148-e3be6c30e623}">
          <xlrd:rvb i="246"/>
        </ext>
      </extLst>
    </bk>
    <bk>
      <extLst>
        <ext uri="{3e2802c4-a4d2-4d8b-9148-e3be6c30e623}">
          <xlrd:rvb i="249"/>
        </ext>
      </extLst>
    </bk>
    <bk>
      <extLst>
        <ext uri="{3e2802c4-a4d2-4d8b-9148-e3be6c30e623}">
          <xlrd:rvb i="252"/>
        </ext>
      </extLst>
    </bk>
    <bk>
      <extLst>
        <ext uri="{3e2802c4-a4d2-4d8b-9148-e3be6c30e623}">
          <xlrd:rvb i="255"/>
        </ext>
      </extLst>
    </bk>
    <bk>
      <extLst>
        <ext uri="{3e2802c4-a4d2-4d8b-9148-e3be6c30e623}">
          <xlrd:rvb i="258"/>
        </ext>
      </extLst>
    </bk>
    <bk>
      <extLst>
        <ext uri="{3e2802c4-a4d2-4d8b-9148-e3be6c30e623}">
          <xlrd:rvb i="261"/>
        </ext>
      </extLst>
    </bk>
    <bk>
      <extLst>
        <ext uri="{3e2802c4-a4d2-4d8b-9148-e3be6c30e623}">
          <xlrd:rvb i="264"/>
        </ext>
      </extLst>
    </bk>
    <bk>
      <extLst>
        <ext uri="{3e2802c4-a4d2-4d8b-9148-e3be6c30e623}">
          <xlrd:rvb i="267"/>
        </ext>
      </extLst>
    </bk>
    <bk>
      <extLst>
        <ext uri="{3e2802c4-a4d2-4d8b-9148-e3be6c30e623}">
          <xlrd:rvb i="270"/>
        </ext>
      </extLst>
    </bk>
    <bk>
      <extLst>
        <ext uri="{3e2802c4-a4d2-4d8b-9148-e3be6c30e623}">
          <xlrd:rvb i="273"/>
        </ext>
      </extLst>
    </bk>
    <bk>
      <extLst>
        <ext uri="{3e2802c4-a4d2-4d8b-9148-e3be6c30e623}">
          <xlrd:rvb i="276"/>
        </ext>
      </extLst>
    </bk>
    <bk>
      <extLst>
        <ext uri="{3e2802c4-a4d2-4d8b-9148-e3be6c30e623}">
          <xlrd:rvb i="279"/>
        </ext>
      </extLst>
    </bk>
    <bk>
      <extLst>
        <ext uri="{3e2802c4-a4d2-4d8b-9148-e3be6c30e623}">
          <xlrd:rvb i="282"/>
        </ext>
      </extLst>
    </bk>
    <bk>
      <extLst>
        <ext uri="{3e2802c4-a4d2-4d8b-9148-e3be6c30e623}">
          <xlrd:rvb i="285"/>
        </ext>
      </extLst>
    </bk>
  </futureMetadata>
  <cellMetadata count="1">
    <bk>
      <rc t="1" v="0"/>
    </bk>
  </cellMetadata>
  <valueMetadata count="91">
    <bk>
      <rc t="2" v="0"/>
    </bk>
    <bk>
      <rc t="2" v="1"/>
    </bk>
    <bk>
      <rc t="2" v="2"/>
    </bk>
    <bk>
      <rc t="2" v="3"/>
    </bk>
    <bk>
      <rc t="2" v="4"/>
    </bk>
    <bk>
      <rc t="2" v="5"/>
    </bk>
    <bk>
      <rc t="2" v="6"/>
    </bk>
    <bk>
      <rc t="2" v="7"/>
    </bk>
    <bk>
      <rc t="2" v="8"/>
    </bk>
    <bk>
      <rc t="2" v="9"/>
    </bk>
    <bk>
      <rc t="2" v="10"/>
    </bk>
    <bk>
      <rc t="2" v="11"/>
    </bk>
    <bk>
      <rc t="2" v="12"/>
    </bk>
    <bk>
      <rc t="2" v="13"/>
    </bk>
    <bk>
      <rc t="2" v="14"/>
    </bk>
    <bk>
      <rc t="2" v="15"/>
    </bk>
    <bk>
      <rc t="2" v="16"/>
    </bk>
    <bk>
      <rc t="2" v="17"/>
    </bk>
    <bk>
      <rc t="2" v="18"/>
    </bk>
    <bk>
      <rc t="2" v="19"/>
    </bk>
    <bk>
      <rc t="2" v="20"/>
    </bk>
    <bk>
      <rc t="2" v="21"/>
    </bk>
    <bk>
      <rc t="2" v="22"/>
    </bk>
    <bk>
      <rc t="2" v="23"/>
    </bk>
    <bk>
      <rc t="2" v="24"/>
    </bk>
    <bk>
      <rc t="2" v="25"/>
    </bk>
    <bk>
      <rc t="2" v="26"/>
    </bk>
    <bk>
      <rc t="2" v="27"/>
    </bk>
    <bk>
      <rc t="2" v="28"/>
    </bk>
    <bk>
      <rc t="2" v="29"/>
    </bk>
    <bk>
      <rc t="2" v="30"/>
    </bk>
    <bk>
      <rc t="2" v="31"/>
    </bk>
    <bk>
      <rc t="2" v="32"/>
    </bk>
    <bk>
      <rc t="2" v="33"/>
    </bk>
    <bk>
      <rc t="2" v="34"/>
    </bk>
    <bk>
      <rc t="2" v="35"/>
    </bk>
    <bk>
      <rc t="2" v="36"/>
    </bk>
    <bk>
      <rc t="2" v="37"/>
    </bk>
    <bk>
      <rc t="2" v="38"/>
    </bk>
    <bk>
      <rc t="2" v="39"/>
    </bk>
    <bk>
      <rc t="2" v="40"/>
    </bk>
    <bk>
      <rc t="2" v="41"/>
    </bk>
    <bk>
      <rc t="2" v="42"/>
    </bk>
    <bk>
      <rc t="2" v="43"/>
    </bk>
    <bk>
      <rc t="2" v="44"/>
    </bk>
    <bk>
      <rc t="2" v="45"/>
    </bk>
    <bk>
      <rc t="2" v="46"/>
    </bk>
    <bk>
      <rc t="2" v="47"/>
    </bk>
    <bk>
      <rc t="2" v="48"/>
    </bk>
    <bk>
      <rc t="2" v="49"/>
    </bk>
    <bk>
      <rc t="2" v="50"/>
    </bk>
    <bk>
      <rc t="2" v="51"/>
    </bk>
    <bk>
      <rc t="2" v="52"/>
    </bk>
    <bk>
      <rc t="2" v="53"/>
    </bk>
    <bk>
      <rc t="2" v="54"/>
    </bk>
    <bk>
      <rc t="2" v="55"/>
    </bk>
    <bk>
      <rc t="2" v="56"/>
    </bk>
    <bk>
      <rc t="2" v="57"/>
    </bk>
    <bk>
      <rc t="2" v="58"/>
    </bk>
    <bk>
      <rc t="2" v="59"/>
    </bk>
    <bk>
      <rc t="2" v="60"/>
    </bk>
    <bk>
      <rc t="2" v="61"/>
    </bk>
    <bk>
      <rc t="2" v="62"/>
    </bk>
    <bk>
      <rc t="2" v="63"/>
    </bk>
    <bk>
      <rc t="2" v="64"/>
    </bk>
    <bk>
      <rc t="2" v="65"/>
    </bk>
    <bk>
      <rc t="2" v="66"/>
    </bk>
    <bk>
      <rc t="2" v="67"/>
    </bk>
    <bk>
      <rc t="2" v="68"/>
    </bk>
    <bk>
      <rc t="2" v="69"/>
    </bk>
    <bk>
      <rc t="2" v="70"/>
    </bk>
    <bk>
      <rc t="2" v="71"/>
    </bk>
    <bk>
      <rc t="2" v="72"/>
    </bk>
    <bk>
      <rc t="2" v="73"/>
    </bk>
    <bk>
      <rc t="2" v="74"/>
    </bk>
    <bk>
      <rc t="2" v="75"/>
    </bk>
    <bk>
      <rc t="2" v="76"/>
    </bk>
    <bk>
      <rc t="2" v="77"/>
    </bk>
    <bk>
      <rc t="2" v="78"/>
    </bk>
    <bk>
      <rc t="2" v="79"/>
    </bk>
    <bk>
      <rc t="2" v="80"/>
    </bk>
    <bk>
      <rc t="2" v="81"/>
    </bk>
    <bk>
      <rc t="2" v="82"/>
    </bk>
    <bk>
      <rc t="2" v="83"/>
    </bk>
    <bk>
      <rc t="2" v="84"/>
    </bk>
    <bk>
      <rc t="2" v="85"/>
    </bk>
    <bk>
      <rc t="2" v="86"/>
    </bk>
    <bk>
      <rc t="2" v="87"/>
    </bk>
    <bk>
      <rc t="2" v="88"/>
    </bk>
    <bk>
      <rc t="2" v="89"/>
    </bk>
    <bk>
      <rc t="2" v="90"/>
    </bk>
  </valueMetadata>
</metadata>
</file>

<file path=xl/sharedStrings.xml><?xml version="1.0" encoding="utf-8"?>
<sst xmlns="http://schemas.openxmlformats.org/spreadsheetml/2006/main" count="286" uniqueCount="63">
  <si>
    <t>Company</t>
  </si>
  <si>
    <t>Start date</t>
  </si>
  <si>
    <t>Start Price</t>
  </si>
  <si>
    <t>Ticker symbol</t>
  </si>
  <si>
    <t>Price</t>
  </si>
  <si>
    <t>% Change</t>
  </si>
  <si>
    <t>V S&amp;P 500</t>
  </si>
  <si>
    <t>#</t>
  </si>
  <si>
    <t>Date</t>
  </si>
  <si>
    <t>5 Stock Theme</t>
  </si>
  <si>
    <t>All Time Totals</t>
  </si>
  <si>
    <t>Return to Overall Stats</t>
  </si>
  <si>
    <t>S&amp;P 500</t>
  </si>
  <si>
    <t>v S&amp;P500</t>
  </si>
  <si>
    <t>TSX 60</t>
  </si>
  <si>
    <t>v TSX 60</t>
  </si>
  <si>
    <t>v S&amp;P 500</t>
  </si>
  <si>
    <t>Sampler Average</t>
  </si>
  <si>
    <t>S&amp;P 500 Average</t>
  </si>
  <si>
    <t>TSX 60 Average</t>
  </si>
  <si>
    <t>Sampler v S&amp;P 500</t>
  </si>
  <si>
    <t>Sampler v TSX 60</t>
  </si>
  <si>
    <t>TSE 60</t>
  </si>
  <si>
    <t>v TSE 60</t>
  </si>
  <si>
    <t>Overall Stats for Stock Samplers</t>
  </si>
  <si>
    <t>Canadian Tech Stocks</t>
  </si>
  <si>
    <t>Green Revolution</t>
  </si>
  <si>
    <t>Canadian Starter Stocks</t>
  </si>
  <si>
    <t>Stocks for Pets</t>
  </si>
  <si>
    <t>Electric Vehicles</t>
  </si>
  <si>
    <t>Lowest return</t>
  </si>
  <si>
    <t>Highest return</t>
  </si>
  <si>
    <t>Ticker</t>
  </si>
  <si>
    <t>Currency</t>
  </si>
  <si>
    <t>Current Price</t>
  </si>
  <si>
    <t>Buy Now Pay Later</t>
  </si>
  <si>
    <t>Start Date</t>
  </si>
  <si>
    <t>For The Consumer</t>
  </si>
  <si>
    <t>Get Out and Go</t>
  </si>
  <si>
    <t>US Infrastructure Build Out</t>
  </si>
  <si>
    <t>Copper Producers</t>
  </si>
  <si>
    <t>Artificial Intellignece</t>
  </si>
  <si>
    <t>AI Portfolio</t>
  </si>
  <si>
    <t>Stocks for a Cashless Society</t>
  </si>
  <si>
    <t>Stocks for the Digital Revolution</t>
  </si>
  <si>
    <t>Stocks for the Green Revolution</t>
  </si>
  <si>
    <t>Electric Vehicle Stocks</t>
  </si>
  <si>
    <t>Buy Now Pay Later Companies</t>
  </si>
  <si>
    <t>Companies That Make Consumer Goods</t>
  </si>
  <si>
    <t>Travel Stocks To Get Out And Go</t>
  </si>
  <si>
    <t>Stocks for US Infrastructure Build Out</t>
  </si>
  <si>
    <t>Small Cap Copper Producers</t>
  </si>
  <si>
    <t>Purpose</t>
  </si>
  <si>
    <t>Instructions</t>
  </si>
  <si>
    <t>This spreadsheet is a collection of themed stocks. It can be used to see how various groups of stocks perform over time.</t>
  </si>
  <si>
    <t>The OverallStats sheet contains a table and chart showing how each group of stocks has performed since the basket was created.</t>
  </si>
  <si>
    <t>You can jump to any basket by clicking on the desired link in the table, or going directly to the sheet by clicking on the appropriate named tab.</t>
  </si>
  <si>
    <t>Each sheet has a 'Return to Overall Stats' link that will take you back to the OverallStats sheet.</t>
  </si>
  <si>
    <t>If you want to create your own themed basket you can edit one of the existing sheets and add your own companies. If you rename the tab you will have to edit the appropriate link on the OverallStats sheet.</t>
  </si>
  <si>
    <t xml:space="preserve">You can also create your own themed basket by copying an existing sheet and editing accordingly. </t>
  </si>
  <si>
    <t>For items 4 and 5 you need to be familiar with editing Excel formulas and hyperlinks.</t>
  </si>
  <si>
    <t>Cashless Society stocks</t>
  </si>
  <si>
    <t>Digital Revolution stocks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</si>
</sst>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6" formatCode="yyyy/mm/dd;@"/>
  </numFmts>
  <fonts count="9" x14ac:knownFonts="1">
    <font>
      <sz val="11"/>
      <color theme="1"/>
      <name val="Calibri"/>
      <family val="2"/>
      <scheme val="minor"/>
    </font>
    <font>
      <sz val="11"/>
      <color theme="1"/>
      <name val="Calibri"/>
      <family val="2"/>
      <scheme val="minor"/>
    </font>
    <font>
      <b/>
      <sz val="15"/>
      <color theme="3"/>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sz val="11"/>
      <color theme="0"/>
      <name val="Calibri"/>
      <family val="2"/>
      <scheme val="minor"/>
    </font>
    <font>
      <b/>
      <sz val="14"/>
      <color theme="0"/>
      <name val="Calibri"/>
      <family val="2"/>
      <scheme val="minor"/>
    </font>
    <font>
      <i/>
      <sz val="11"/>
      <color theme="1"/>
      <name val="Calibri"/>
      <family val="2"/>
      <scheme val="minor"/>
    </font>
  </fonts>
  <fills count="4">
    <fill>
      <patternFill patternType="none"/>
    </fill>
    <fill>
      <patternFill patternType="gray125"/>
    </fill>
    <fill>
      <patternFill patternType="solid">
        <fgColor theme="8" tint="-0.499984740745262"/>
        <bgColor indexed="64"/>
      </patternFill>
    </fill>
    <fill>
      <patternFill patternType="solid">
        <fgColor theme="4"/>
      </patternFill>
    </fill>
  </fills>
  <borders count="4">
    <border>
      <left/>
      <right/>
      <top/>
      <bottom/>
      <diagonal/>
    </border>
    <border>
      <left/>
      <right/>
      <top/>
      <bottom style="thick">
        <color theme="4"/>
      </bottom>
      <diagonal/>
    </border>
    <border>
      <left/>
      <right/>
      <top style="thin">
        <color indexed="64"/>
      </top>
      <bottom/>
      <diagonal/>
    </border>
    <border>
      <left/>
      <right/>
      <top/>
      <bottom style="thin">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5" fillId="0" borderId="0" applyNumberFormat="0" applyFill="0" applyBorder="0" applyAlignment="0" applyProtection="0"/>
    <xf numFmtId="0" fontId="6" fillId="3" borderId="0" applyNumberFormat="0" applyBorder="0" applyAlignment="0" applyProtection="0"/>
  </cellStyleXfs>
  <cellXfs count="36">
    <xf numFmtId="0" fontId="0" fillId="0" borderId="0" xfId="0"/>
    <xf numFmtId="9" fontId="0" fillId="0" borderId="0" xfId="2" applyFont="1"/>
    <xf numFmtId="9" fontId="0" fillId="0" borderId="0" xfId="0" applyNumberFormat="1"/>
    <xf numFmtId="14" fontId="0" fillId="0" borderId="0" xfId="0" applyNumberFormat="1"/>
    <xf numFmtId="166" fontId="0" fillId="0" borderId="0" xfId="0" applyNumberFormat="1"/>
    <xf numFmtId="0" fontId="2" fillId="0" borderId="1" xfId="3"/>
    <xf numFmtId="9" fontId="4" fillId="0" borderId="0" xfId="0" applyNumberFormat="1" applyFont="1"/>
    <xf numFmtId="0" fontId="5" fillId="0" borderId="0" xfId="4"/>
    <xf numFmtId="9" fontId="3" fillId="2" borderId="0" xfId="2" applyFont="1" applyFill="1"/>
    <xf numFmtId="40" fontId="0" fillId="0" borderId="0" xfId="1" applyNumberFormat="1" applyFont="1"/>
    <xf numFmtId="40" fontId="0" fillId="0" borderId="0" xfId="0" applyNumberFormat="1"/>
    <xf numFmtId="0" fontId="3" fillId="2" borderId="0" xfId="0" applyFont="1" applyFill="1" applyAlignment="1">
      <alignment horizontal="center"/>
    </xf>
    <xf numFmtId="9" fontId="3" fillId="2" borderId="0" xfId="2" applyFont="1" applyFill="1" applyAlignment="1">
      <alignment horizontal="center"/>
    </xf>
    <xf numFmtId="0" fontId="4" fillId="0" borderId="0" xfId="0" applyFont="1"/>
    <xf numFmtId="9" fontId="4" fillId="0" borderId="0" xfId="2" applyFont="1"/>
    <xf numFmtId="0" fontId="5" fillId="0" borderId="0" xfId="4" applyAlignment="1"/>
    <xf numFmtId="44" fontId="0" fillId="0" borderId="0" xfId="1" applyFont="1"/>
    <xf numFmtId="0" fontId="0" fillId="0" borderId="2" xfId="0" applyBorder="1"/>
    <xf numFmtId="44" fontId="0" fillId="0" borderId="2" xfId="1" applyFont="1" applyBorder="1"/>
    <xf numFmtId="9" fontId="0" fillId="0" borderId="2" xfId="0" applyNumberFormat="1" applyBorder="1"/>
    <xf numFmtId="9" fontId="0" fillId="0" borderId="2" xfId="2" applyFont="1" applyBorder="1"/>
    <xf numFmtId="0" fontId="0" fillId="0" borderId="0" xfId="0" applyAlignment="1">
      <alignment vertical="center" wrapText="1"/>
    </xf>
    <xf numFmtId="0" fontId="5" fillId="0" borderId="0" xfId="4" applyAlignment="1">
      <alignment vertical="center" wrapText="1"/>
    </xf>
    <xf numFmtId="14" fontId="0" fillId="0" borderId="0" xfId="0" applyNumberFormat="1" applyAlignment="1">
      <alignment vertical="center" wrapText="1"/>
    </xf>
    <xf numFmtId="0" fontId="0" fillId="0" borderId="0" xfId="0" applyAlignment="1">
      <alignment horizontal="right" vertical="center" wrapText="1"/>
    </xf>
    <xf numFmtId="10" fontId="0" fillId="0" borderId="0" xfId="0" applyNumberFormat="1" applyAlignment="1">
      <alignment horizontal="right" vertical="center" wrapText="1"/>
    </xf>
    <xf numFmtId="39" fontId="0" fillId="0" borderId="0" xfId="1" applyNumberFormat="1" applyFont="1" applyAlignment="1">
      <alignment horizontal="right" vertical="center" wrapText="1"/>
    </xf>
    <xf numFmtId="0" fontId="4" fillId="0" borderId="0" xfId="0" applyFont="1" applyAlignment="1">
      <alignment vertical="top"/>
    </xf>
    <xf numFmtId="0" fontId="0" fillId="0" borderId="0" xfId="0" applyAlignment="1">
      <alignment vertical="top" wrapText="1"/>
    </xf>
    <xf numFmtId="0" fontId="0" fillId="0" borderId="0" xfId="0" applyAlignment="1">
      <alignment wrapText="1"/>
    </xf>
    <xf numFmtId="0" fontId="4" fillId="0" borderId="3" xfId="0" applyFont="1" applyBorder="1" applyAlignment="1">
      <alignment wrapText="1"/>
    </xf>
    <xf numFmtId="0" fontId="0" fillId="0" borderId="3" xfId="0" applyBorder="1" applyAlignment="1">
      <alignment wrapText="1"/>
    </xf>
    <xf numFmtId="0" fontId="0" fillId="0" borderId="0" xfId="0" applyAlignment="1">
      <alignment vertical="top"/>
    </xf>
    <xf numFmtId="0" fontId="8" fillId="0" borderId="0" xfId="0" applyFont="1" applyAlignment="1">
      <alignment vertical="top" wrapText="1"/>
    </xf>
    <xf numFmtId="0" fontId="3" fillId="2" borderId="0" xfId="0" applyFont="1" applyFill="1" applyAlignment="1">
      <alignment horizontal="center"/>
    </xf>
    <xf numFmtId="0" fontId="7" fillId="3" borderId="0" xfId="5" applyFont="1" applyAlignment="1">
      <alignment horizontal="center"/>
    </xf>
  </cellXfs>
  <cellStyles count="6">
    <cellStyle name="Accent1" xfId="5" builtinId="29"/>
    <cellStyle name="Currency" xfId="1" builtinId="4"/>
    <cellStyle name="Heading 1" xfId="3" builtinId="16"/>
    <cellStyle name="Hyperlink" xfId="4" builtinId="8"/>
    <cellStyle name="Normal" xfId="0" builtinId="0"/>
    <cellStyle name="Percent" xfId="2" builtinId="5"/>
  </cellStyles>
  <dxfs count="190">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numFmt numFmtId="13" formatCode="0%"/>
    </dxf>
    <dxf>
      <numFmt numFmtId="8" formatCode="#,##0.00;[Red]\-#,##0.00"/>
    </dxf>
    <dxf>
      <numFmt numFmtId="7" formatCode="#,##0.00;\-#,##0.00"/>
      <alignment horizontal="right" vertical="center" textRotation="0" wrapText="1" indent="0" justifyLastLine="0" shrinkToFit="0" readingOrder="0"/>
    </dxf>
    <dxf>
      <numFmt numFmtId="0" formatCode="Genera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13" formatCode="0%"/>
    </dxf>
    <dxf>
      <font>
        <color rgb="FF9C0006"/>
      </font>
      <fill>
        <patternFill>
          <bgColor rgb="FFFFC7CE"/>
        </patternFill>
      </fill>
    </dxf>
    <dxf>
      <font>
        <color theme="4"/>
      </font>
      <fill>
        <patternFill>
          <bgColor theme="8" tint="0.59996337778862885"/>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numFmt numFmtId="13" formatCode="0%"/>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3" formatCode="0%"/>
    </dxf>
    <dxf>
      <numFmt numFmtId="13" formatCode="0%"/>
    </dxf>
    <dxf>
      <numFmt numFmtId="13" formatCode="0%"/>
    </dxf>
    <dxf>
      <font>
        <b val="0"/>
        <i val="0"/>
        <strike val="0"/>
        <condense val="0"/>
        <extend val="0"/>
        <outline val="0"/>
        <shadow val="0"/>
        <u val="none"/>
        <vertAlign val="baseline"/>
        <sz val="11"/>
        <color theme="1"/>
        <name val="Calibri"/>
        <family val="2"/>
        <scheme val="minor"/>
      </font>
    </dxf>
    <dxf>
      <numFmt numFmtId="165" formatCode="_([$$-409]* #,##0.00_);_([$$-409]* \(#,##0.00\);_([$$-409]* &quot;-&quot;??_);_(@_)"/>
    </dxf>
    <dxf>
      <numFmt numFmtId="8" formatCode="#,##0.00;[Red]\-#,##0.00"/>
    </dxf>
    <dxf>
      <numFmt numFmtId="8" formatCode="#,##0.00;[Red]\-#,##0.00"/>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26" Type="http://schemas.openxmlformats.org/officeDocument/2006/relationships/calcChain" Target="calcChain.xml"/><Relationship Id="rId3" Type="http://schemas.openxmlformats.org/officeDocument/2006/relationships/worksheet" Target="worksheets/sheet3.xml"/><Relationship Id="rId21" Type="http://schemas.microsoft.com/office/2017/06/relationships/rdRichValueStructure" Target="richData/rdrichvaluestructur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17/06/relationships/rdRichValue" Target="richData/rdrichvalue.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SupportingPropertyBag" Target="richData/rdsupportingpropertybag.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SupportingPropertyBagStructure" Target="richData/rdsupportingpropertybagstructure.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06/relationships/richStyles" Target="richData/richStyles.xml"/><Relationship Id="rId27"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outerShdw blurRad="50800" dist="38100" dir="2700000" algn="tl" rotWithShape="0">
                <a:schemeClr val="tx1">
                  <a:alpha val="40000"/>
                </a:schemeClr>
              </a:outerShdw>
            </a:effectLst>
            <a:scene3d>
              <a:camera prst="orthographicFront"/>
              <a:lightRig rig="threePt" dir="t"/>
            </a:scene3d>
            <a:sp3d>
              <a:bevelT/>
              <a:bevelB/>
            </a:sp3d>
          </c:spPr>
          <c:invertIfNegative val="0"/>
          <c:cat>
            <c:strRef>
              <c:f>OverallStats!$C$7:$C$19</c:f>
              <c:strCache>
                <c:ptCount val="13"/>
                <c:pt idx="0">
                  <c:v>Artificial Intellignece</c:v>
                </c:pt>
                <c:pt idx="1">
                  <c:v>Cashless Society stocks</c:v>
                </c:pt>
                <c:pt idx="2">
                  <c:v>Digital Revolution stocks</c:v>
                </c:pt>
                <c:pt idx="3">
                  <c:v>Canadian Starter Stocks</c:v>
                </c:pt>
                <c:pt idx="4">
                  <c:v>Stocks for Pets</c:v>
                </c:pt>
                <c:pt idx="5">
                  <c:v>Canadian Tech Stocks</c:v>
                </c:pt>
                <c:pt idx="6">
                  <c:v>Green Revolution</c:v>
                </c:pt>
                <c:pt idx="7">
                  <c:v>Electric Vehicles</c:v>
                </c:pt>
                <c:pt idx="8">
                  <c:v>Buy Now Pay Later</c:v>
                </c:pt>
                <c:pt idx="9">
                  <c:v>For The Consumer</c:v>
                </c:pt>
                <c:pt idx="10">
                  <c:v>Get Out and Go</c:v>
                </c:pt>
                <c:pt idx="11">
                  <c:v>US Infrastructure Build Out</c:v>
                </c:pt>
                <c:pt idx="12">
                  <c:v>Copper Producers</c:v>
                </c:pt>
              </c:strCache>
            </c:strRef>
          </c:cat>
          <c:val>
            <c:numRef>
              <c:f>OverallStats!$D$7:$D$19</c:f>
              <c:numCache>
                <c:formatCode>0%</c:formatCode>
                <c:ptCount val="13"/>
                <c:pt idx="0">
                  <c:v>0.30041215712017277</c:v>
                </c:pt>
                <c:pt idx="1">
                  <c:v>0.50930020400225451</c:v>
                </c:pt>
                <c:pt idx="2">
                  <c:v>-0.15391291731004117</c:v>
                </c:pt>
                <c:pt idx="3">
                  <c:v>4.1614760390329311E-2</c:v>
                </c:pt>
                <c:pt idx="4">
                  <c:v>-0.35057130183219215</c:v>
                </c:pt>
                <c:pt idx="5">
                  <c:v>-0.31016085722776182</c:v>
                </c:pt>
                <c:pt idx="6">
                  <c:v>-0.31319799395144182</c:v>
                </c:pt>
                <c:pt idx="7">
                  <c:v>-0.3270335885864708</c:v>
                </c:pt>
                <c:pt idx="8">
                  <c:v>-0.38384007276664833</c:v>
                </c:pt>
                <c:pt idx="9">
                  <c:v>-0.32804072816545971</c:v>
                </c:pt>
                <c:pt idx="10">
                  <c:v>-0.23155103007239178</c:v>
                </c:pt>
                <c:pt idx="11">
                  <c:v>-9.0723872106533432E-2</c:v>
                </c:pt>
                <c:pt idx="12">
                  <c:v>3.3210456540899568E-2</c:v>
                </c:pt>
              </c:numCache>
            </c:numRef>
          </c:val>
          <c:extLst>
            <c:ext xmlns:c16="http://schemas.microsoft.com/office/drawing/2014/chart" uri="{C3380CC4-5D6E-409C-BE32-E72D297353CC}">
              <c16:uniqueId val="{00000000-E1F3-468D-81F6-F83E8FB14B4F}"/>
            </c:ext>
          </c:extLst>
        </c:ser>
        <c:dLbls>
          <c:showLegendKey val="0"/>
          <c:showVal val="0"/>
          <c:showCatName val="0"/>
          <c:showSerName val="0"/>
          <c:showPercent val="0"/>
          <c:showBubbleSize val="0"/>
        </c:dLbls>
        <c:gapWidth val="219"/>
        <c:overlap val="-22"/>
        <c:axId val="1638213664"/>
        <c:axId val="1638222400"/>
      </c:barChart>
      <c:catAx>
        <c:axId val="16382136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n-US"/>
          </a:p>
        </c:txPr>
        <c:crossAx val="1638222400"/>
        <c:crosses val="autoZero"/>
        <c:auto val="1"/>
        <c:lblAlgn val="ctr"/>
        <c:lblOffset val="100"/>
        <c:noMultiLvlLbl val="0"/>
      </c:catAx>
      <c:valAx>
        <c:axId val="16382224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n-US"/>
          </a:p>
        </c:txPr>
        <c:crossAx val="16382136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a:outerShdw blurRad="50800" dist="38100" dir="2700000" algn="tl" rotWithShape="0">
        <a:prstClr val="black">
          <a:alpha val="40000"/>
        </a:prstClr>
      </a:outerShdw>
    </a:effectLst>
    <a:scene3d>
      <a:camera prst="orthographicFront"/>
      <a:lightRig rig="threePt" dir="t"/>
    </a:scene3d>
    <a:sp3d>
      <a:bevelT/>
      <a:bevelB/>
    </a:sp3d>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AI!$B$22:$B$52</c:f>
              <c:strCache>
                <c:ptCount val="31"/>
                <c:pt idx="0">
                  <c:v>NXPI</c:v>
                </c:pt>
                <c:pt idx="1">
                  <c:v>GRMN</c:v>
                </c:pt>
                <c:pt idx="2">
                  <c:v>SSTK</c:v>
                </c:pt>
                <c:pt idx="3">
                  <c:v>CRNC</c:v>
                </c:pt>
                <c:pt idx="4">
                  <c:v>CRM</c:v>
                </c:pt>
                <c:pt idx="5">
                  <c:v>ETSY</c:v>
                </c:pt>
                <c:pt idx="6">
                  <c:v>FTCH</c:v>
                </c:pt>
                <c:pt idx="7">
                  <c:v>INTC</c:v>
                </c:pt>
                <c:pt idx="8">
                  <c:v>TWLO</c:v>
                </c:pt>
                <c:pt idx="9">
                  <c:v>MSFT</c:v>
                </c:pt>
                <c:pt idx="10">
                  <c:v>ROKU</c:v>
                </c:pt>
                <c:pt idx="11">
                  <c:v>TWLO</c:v>
                </c:pt>
                <c:pt idx="12">
                  <c:v>NTNX</c:v>
                </c:pt>
                <c:pt idx="13">
                  <c:v>NEWR</c:v>
                </c:pt>
                <c:pt idx="14">
                  <c:v>IRBT</c:v>
                </c:pt>
                <c:pt idx="15">
                  <c:v>TSM</c:v>
                </c:pt>
                <c:pt idx="16">
                  <c:v>META</c:v>
                </c:pt>
                <c:pt idx="17">
                  <c:v>ANET</c:v>
                </c:pt>
                <c:pt idx="18">
                  <c:v>AMAT</c:v>
                </c:pt>
                <c:pt idx="19">
                  <c:v>PANW</c:v>
                </c:pt>
                <c:pt idx="20">
                  <c:v>GOOG</c:v>
                </c:pt>
                <c:pt idx="21">
                  <c:v>AMZN</c:v>
                </c:pt>
                <c:pt idx="22">
                  <c:v>BIDU</c:v>
                </c:pt>
                <c:pt idx="23">
                  <c:v>SPLK</c:v>
                </c:pt>
                <c:pt idx="24">
                  <c:v>NVDA</c:v>
                </c:pt>
                <c:pt idx="25">
                  <c:v>ZG</c:v>
                </c:pt>
                <c:pt idx="26">
                  <c:v>TTD</c:v>
                </c:pt>
                <c:pt idx="27">
                  <c:v>CGNX</c:v>
                </c:pt>
                <c:pt idx="28">
                  <c:v>BOX</c:v>
                </c:pt>
                <c:pt idx="29">
                  <c:v>SPY</c:v>
                </c:pt>
                <c:pt idx="30">
                  <c:v>XIU</c:v>
                </c:pt>
              </c:strCache>
            </c:strRef>
          </c:cat>
          <c:val>
            <c:numRef>
              <c:f>AI!$F$22:$F$52</c:f>
              <c:numCache>
                <c:formatCode>0%</c:formatCode>
                <c:ptCount val="31"/>
                <c:pt idx="0">
                  <c:v>-0.20840872804683339</c:v>
                </c:pt>
                <c:pt idx="1">
                  <c:v>-0.30899470899470893</c:v>
                </c:pt>
                <c:pt idx="2">
                  <c:v>-0.12448132780082992</c:v>
                </c:pt>
                <c:pt idx="3">
                  <c:v>-0.57907425265188039</c:v>
                </c:pt>
                <c:pt idx="4">
                  <c:v>-3.598926738217445E-2</c:v>
                </c:pt>
                <c:pt idx="5">
                  <c:v>1.222126560482135</c:v>
                </c:pt>
                <c:pt idx="6">
                  <c:v>-0.24220183486238536</c:v>
                </c:pt>
                <c:pt idx="7">
                  <c:v>-0.58127100519401165</c:v>
                </c:pt>
                <c:pt idx="8">
                  <c:v>-0.23588669459405551</c:v>
                </c:pt>
                <c:pt idx="9">
                  <c:v>0.73840072127054579</c:v>
                </c:pt>
                <c:pt idx="10">
                  <c:v>-0.62358862739763299</c:v>
                </c:pt>
                <c:pt idx="11">
                  <c:v>-0.44649953038075285</c:v>
                </c:pt>
                <c:pt idx="12">
                  <c:v>-6.8402777777777854E-2</c:v>
                </c:pt>
                <c:pt idx="13">
                  <c:v>0.87013782542113338</c:v>
                </c:pt>
                <c:pt idx="14">
                  <c:v>-6.2962962962962998E-2</c:v>
                </c:pt>
                <c:pt idx="15">
                  <c:v>1.063449206884914</c:v>
                </c:pt>
                <c:pt idx="16">
                  <c:v>0.15322039584032202</c:v>
                </c:pt>
                <c:pt idx="17">
                  <c:v>0.25534997770842616</c:v>
                </c:pt>
                <c:pt idx="18">
                  <c:v>1.5934814814814815</c:v>
                </c:pt>
                <c:pt idx="19">
                  <c:v>0.17101183765501698</c:v>
                </c:pt>
                <c:pt idx="20">
                  <c:v>1.6160558464223387</c:v>
                </c:pt>
                <c:pt idx="21">
                  <c:v>1.9814585908529045</c:v>
                </c:pt>
                <c:pt idx="22">
                  <c:v>-0.5388153784996309</c:v>
                </c:pt>
                <c:pt idx="23">
                  <c:v>0.53976217019695283</c:v>
                </c:pt>
                <c:pt idx="24">
                  <c:v>0.26103081019399027</c:v>
                </c:pt>
                <c:pt idx="25">
                  <c:v>-0.15728521411257751</c:v>
                </c:pt>
                <c:pt idx="26">
                  <c:v>0.9944827586206898</c:v>
                </c:pt>
                <c:pt idx="27">
                  <c:v>0.39872262773722622</c:v>
                </c:pt>
                <c:pt idx="28">
                  <c:v>0.68683901292596949</c:v>
                </c:pt>
                <c:pt idx="29">
                  <c:v>0.70386437076711972</c:v>
                </c:pt>
                <c:pt idx="30">
                  <c:v>0.27724498692240623</c:v>
                </c:pt>
              </c:numCache>
            </c:numRef>
          </c:val>
          <c:extLst>
            <c:ext xmlns:c16="http://schemas.microsoft.com/office/drawing/2014/chart" uri="{C3380CC4-5D6E-409C-BE32-E72D297353CC}">
              <c16:uniqueId val="{00000000-2422-4AB1-AA5C-3C8A42A2FCE4}"/>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CashlessSociety!$B$22:$B$28</c:f>
              <c:strCache>
                <c:ptCount val="7"/>
                <c:pt idx="0">
                  <c:v>MA</c:v>
                </c:pt>
                <c:pt idx="1">
                  <c:v>V</c:v>
                </c:pt>
                <c:pt idx="2">
                  <c:v>PYPL</c:v>
                </c:pt>
                <c:pt idx="3">
                  <c:v>SQ</c:v>
                </c:pt>
                <c:pt idx="4">
                  <c:v>AAPL</c:v>
                </c:pt>
                <c:pt idx="5">
                  <c:v>SPY</c:v>
                </c:pt>
                <c:pt idx="6">
                  <c:v>XIU</c:v>
                </c:pt>
              </c:strCache>
            </c:strRef>
          </c:cat>
          <c:val>
            <c:numRef>
              <c:f>CashlessSociety!$E$22:$E$28</c:f>
              <c:numCache>
                <c:formatCode>0%</c:formatCode>
                <c:ptCount val="7"/>
                <c:pt idx="0">
                  <c:v>0.53449295358233972</c:v>
                </c:pt>
                <c:pt idx="1">
                  <c:v>0.38142278445028771</c:v>
                </c:pt>
                <c:pt idx="2">
                  <c:v>4.4231219283875516E-2</c:v>
                </c:pt>
                <c:pt idx="3">
                  <c:v>-0.14588403722261989</c:v>
                </c:pt>
                <c:pt idx="4">
                  <c:v>2.1910347716799325</c:v>
                </c:pt>
                <c:pt idx="5">
                  <c:v>0.3677776988131618</c:v>
                </c:pt>
                <c:pt idx="6">
                  <c:v>0.19202603742880403</c:v>
                </c:pt>
              </c:numCache>
            </c:numRef>
          </c:val>
          <c:extLst>
            <c:ext xmlns:c16="http://schemas.microsoft.com/office/drawing/2014/chart" uri="{C3380CC4-5D6E-409C-BE32-E72D297353CC}">
              <c16:uniqueId val="{00000000-5D62-40FE-962B-946C07F30452}"/>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bevelB/>
            </a:sp3d>
          </c:spPr>
          <c:invertIfNegative val="0"/>
          <c:cat>
            <c:strRef>
              <c:f>DigitalRevolution!$B$22:$B$28</c:f>
              <c:strCache>
                <c:ptCount val="7"/>
                <c:pt idx="0">
                  <c:v>DOCU</c:v>
                </c:pt>
                <c:pt idx="1">
                  <c:v>TDOC</c:v>
                </c:pt>
                <c:pt idx="2">
                  <c:v>ROKU</c:v>
                </c:pt>
                <c:pt idx="3">
                  <c:v>TTD</c:v>
                </c:pt>
                <c:pt idx="4">
                  <c:v>CRWD</c:v>
                </c:pt>
                <c:pt idx="5">
                  <c:v>SPY</c:v>
                </c:pt>
                <c:pt idx="6">
                  <c:v>XIU</c:v>
                </c:pt>
              </c:strCache>
            </c:strRef>
          </c:cat>
          <c:val>
            <c:numRef>
              <c:f>DigitalRevolution!$E$22:$E$28</c:f>
              <c:numCache>
                <c:formatCode>0%</c:formatCode>
                <c:ptCount val="7"/>
                <c:pt idx="0">
                  <c:v>-0.58367177786987168</c:v>
                </c:pt>
                <c:pt idx="1">
                  <c:v>-0.85966845032000838</c:v>
                </c:pt>
                <c:pt idx="2">
                  <c:v>-0.58132849145105159</c:v>
                </c:pt>
                <c:pt idx="3">
                  <c:v>-0.81056561752857559</c:v>
                </c:pt>
                <c:pt idx="4">
                  <c:v>1.1265905811360357</c:v>
                </c:pt>
                <c:pt idx="5">
                  <c:v>0.3677776988131618</c:v>
                </c:pt>
                <c:pt idx="6">
                  <c:v>0.2634756360500215</c:v>
                </c:pt>
              </c:numCache>
            </c:numRef>
          </c:val>
          <c:extLst>
            <c:ext xmlns:c16="http://schemas.microsoft.com/office/drawing/2014/chart" uri="{C3380CC4-5D6E-409C-BE32-E72D297353CC}">
              <c16:uniqueId val="{00000000-D5B0-4279-94E9-EAF697CD0279}"/>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bevelB/>
            </a:sp3d>
          </c:spPr>
          <c:invertIfNegative val="0"/>
          <c:cat>
            <c:strRef>
              <c:f>CDNStarter!$B$22:$B$28</c:f>
              <c:strCache>
                <c:ptCount val="7"/>
                <c:pt idx="0">
                  <c:v>CNR</c:v>
                </c:pt>
                <c:pt idx="1">
                  <c:v>RY</c:v>
                </c:pt>
                <c:pt idx="2">
                  <c:v>BAM.A</c:v>
                </c:pt>
                <c:pt idx="3">
                  <c:v>FTS</c:v>
                </c:pt>
                <c:pt idx="4">
                  <c:v>SHOP</c:v>
                </c:pt>
                <c:pt idx="5">
                  <c:v>SPY</c:v>
                </c:pt>
                <c:pt idx="6">
                  <c:v>XIU</c:v>
                </c:pt>
              </c:strCache>
            </c:strRef>
          </c:cat>
          <c:val>
            <c:numRef>
              <c:f>CDNStarter!$E$22:$E$28</c:f>
              <c:numCache>
                <c:formatCode>0%</c:formatCode>
                <c:ptCount val="7"/>
                <c:pt idx="0">
                  <c:v>0.13056294485584871</c:v>
                </c:pt>
                <c:pt idx="1">
                  <c:v>0.27474789051245097</c:v>
                </c:pt>
                <c:pt idx="2">
                  <c:v>0.22525832376578653</c:v>
                </c:pt>
                <c:pt idx="3">
                  <c:v>-2.3912634155526191E-2</c:v>
                </c:pt>
                <c:pt idx="4">
                  <c:v>-0.66351966873706003</c:v>
                </c:pt>
                <c:pt idx="5">
                  <c:v>0.15224809914386642</c:v>
                </c:pt>
                <c:pt idx="6">
                  <c:v>0.19591836734693879</c:v>
                </c:pt>
              </c:numCache>
            </c:numRef>
          </c:val>
          <c:extLst>
            <c:ext xmlns:c16="http://schemas.microsoft.com/office/drawing/2014/chart" uri="{C3380CC4-5D6E-409C-BE32-E72D297353CC}">
              <c16:uniqueId val="{00000000-1FB6-409E-86F0-C7BAF01A1C7B}"/>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GoneToTheAnimals!$B$22:$B$30</c:f>
              <c:strCache>
                <c:ptCount val="9"/>
                <c:pt idx="0">
                  <c:v>IDXX</c:v>
                </c:pt>
                <c:pt idx="1">
                  <c:v>CHWY</c:v>
                </c:pt>
                <c:pt idx="2">
                  <c:v>LMND</c:v>
                </c:pt>
                <c:pt idx="3">
                  <c:v>FRPT</c:v>
                </c:pt>
                <c:pt idx="4">
                  <c:v>CENT</c:v>
                </c:pt>
                <c:pt idx="5">
                  <c:v>TRUP</c:v>
                </c:pt>
                <c:pt idx="6">
                  <c:v>BARK</c:v>
                </c:pt>
                <c:pt idx="7">
                  <c:v>SPY</c:v>
                </c:pt>
                <c:pt idx="8">
                  <c:v>XIU</c:v>
                </c:pt>
              </c:strCache>
            </c:strRef>
          </c:cat>
          <c:val>
            <c:numRef>
              <c:f>GoneToTheAnimals!$E$22:$E$30</c:f>
              <c:numCache>
                <c:formatCode>0%</c:formatCode>
                <c:ptCount val="9"/>
                <c:pt idx="0">
                  <c:v>-0.22924641802471826</c:v>
                </c:pt>
                <c:pt idx="1">
                  <c:v>-0.46904190018681613</c:v>
                </c:pt>
                <c:pt idx="2">
                  <c:v>-0.7269520225776106</c:v>
                </c:pt>
                <c:pt idx="3">
                  <c:v>-0.57267743369388047</c:v>
                </c:pt>
                <c:pt idx="4">
                  <c:v>3.4375807702248781E-2</c:v>
                </c:pt>
                <c:pt idx="5">
                  <c:v>-0.47413972888425449</c:v>
                </c:pt>
                <c:pt idx="6">
                  <c:v>-0.8754448398576512</c:v>
                </c:pt>
                <c:pt idx="7">
                  <c:v>4.0943263562118137E-2</c:v>
                </c:pt>
                <c:pt idx="8">
                  <c:v>0.11704155547083493</c:v>
                </c:pt>
              </c:numCache>
            </c:numRef>
          </c:val>
          <c:extLst>
            <c:ext xmlns:c16="http://schemas.microsoft.com/office/drawing/2014/chart" uri="{C3380CC4-5D6E-409C-BE32-E72D297353CC}">
              <c16:uniqueId val="{00000000-0D43-4341-A87D-D37F4F82272D}"/>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bevelB/>
            </a:sp3d>
          </c:spPr>
          <c:invertIfNegative val="0"/>
          <c:cat>
            <c:strRef>
              <c:f>CdnTechs!$B$22:$B$31</c:f>
              <c:strCache>
                <c:ptCount val="10"/>
                <c:pt idx="0">
                  <c:v>NVEI</c:v>
                </c:pt>
                <c:pt idx="1">
                  <c:v>DCBO</c:v>
                </c:pt>
                <c:pt idx="2">
                  <c:v>DND</c:v>
                </c:pt>
                <c:pt idx="3">
                  <c:v>LSPD</c:v>
                </c:pt>
                <c:pt idx="4">
                  <c:v>ENGH</c:v>
                </c:pt>
                <c:pt idx="5">
                  <c:v>KXS</c:v>
                </c:pt>
                <c:pt idx="6">
                  <c:v>CSU</c:v>
                </c:pt>
                <c:pt idx="7">
                  <c:v>SHOP</c:v>
                </c:pt>
                <c:pt idx="8">
                  <c:v>SPY</c:v>
                </c:pt>
                <c:pt idx="9">
                  <c:v>XIU</c:v>
                </c:pt>
              </c:strCache>
            </c:strRef>
          </c:cat>
          <c:val>
            <c:numRef>
              <c:f>CdnTechs!$E$22:$E$31</c:f>
              <c:numCache>
                <c:formatCode>0%</c:formatCode>
                <c:ptCount val="10"/>
                <c:pt idx="0">
                  <c:v>-0.37253665457985186</c:v>
                </c:pt>
                <c:pt idx="1">
                  <c:v>-0.35470973932512395</c:v>
                </c:pt>
                <c:pt idx="2">
                  <c:v>-0.62529110386585929</c:v>
                </c:pt>
                <c:pt idx="3">
                  <c:v>-0.660659045057162</c:v>
                </c:pt>
                <c:pt idx="4">
                  <c:v>-0.53689487701707661</c:v>
                </c:pt>
                <c:pt idx="5">
                  <c:v>-0.18828571428571422</c:v>
                </c:pt>
                <c:pt idx="6">
                  <c:v>0.17938774275515759</c:v>
                </c:pt>
                <c:pt idx="7">
                  <c:v>-0.70122803147290247</c:v>
                </c:pt>
                <c:pt idx="8">
                  <c:v>4.9600523545932966E-2</c:v>
                </c:pt>
                <c:pt idx="9">
                  <c:v>0.10900832702498103</c:v>
                </c:pt>
              </c:numCache>
            </c:numRef>
          </c:val>
          <c:extLst>
            <c:ext xmlns:c16="http://schemas.microsoft.com/office/drawing/2014/chart" uri="{C3380CC4-5D6E-409C-BE32-E72D297353CC}">
              <c16:uniqueId val="{00000000-4F36-4D59-BE16-B30449D93803}"/>
            </c:ext>
          </c:extLst>
        </c:ser>
        <c:dLbls>
          <c:showLegendKey val="0"/>
          <c:showVal val="0"/>
          <c:showCatName val="0"/>
          <c:showSerName val="0"/>
          <c:showPercent val="0"/>
          <c:showBubbleSize val="0"/>
        </c:dLbls>
        <c:gapWidth val="219"/>
        <c:axId val="1518767168"/>
        <c:axId val="1518764672"/>
      </c:barChart>
      <c:catAx>
        <c:axId val="15187671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n-US"/>
          </a:p>
        </c:txPr>
        <c:crossAx val="1518764672"/>
        <c:crosses val="autoZero"/>
        <c:auto val="1"/>
        <c:lblAlgn val="ctr"/>
        <c:lblOffset val="100"/>
        <c:noMultiLvlLbl val="0"/>
      </c:catAx>
      <c:valAx>
        <c:axId val="15187646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876716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GreenRevolution!$B$22:$B$28</c:f>
              <c:strCache>
                <c:ptCount val="7"/>
                <c:pt idx="0">
                  <c:v>RUN</c:v>
                </c:pt>
                <c:pt idx="1">
                  <c:v>BLNK</c:v>
                </c:pt>
                <c:pt idx="2">
                  <c:v>PLUG</c:v>
                </c:pt>
                <c:pt idx="3">
                  <c:v>ENPH</c:v>
                </c:pt>
                <c:pt idx="4">
                  <c:v>BLX</c:v>
                </c:pt>
                <c:pt idx="5">
                  <c:v>SPY</c:v>
                </c:pt>
                <c:pt idx="6">
                  <c:v>XIU</c:v>
                </c:pt>
              </c:strCache>
            </c:strRef>
          </c:cat>
          <c:val>
            <c:numRef>
              <c:f>GreenRevolution!$E$22:$E$28</c:f>
              <c:numCache>
                <c:formatCode>0%</c:formatCode>
                <c:ptCount val="7"/>
                <c:pt idx="0">
                  <c:v>-0.77375856164383561</c:v>
                </c:pt>
                <c:pt idx="1">
                  <c:v>-0.72185050659529737</c:v>
                </c:pt>
                <c:pt idx="2">
                  <c:v>-0.74901544986367763</c:v>
                </c:pt>
                <c:pt idx="3">
                  <c:v>0.28621240738050252</c:v>
                </c:pt>
                <c:pt idx="4">
                  <c:v>-0.33459255261737725</c:v>
                </c:pt>
                <c:pt idx="5">
                  <c:v>1.623676637537301E-2</c:v>
                </c:pt>
                <c:pt idx="6">
                  <c:v>8.4381939304219139E-2</c:v>
                </c:pt>
              </c:numCache>
            </c:numRef>
          </c:val>
          <c:extLst>
            <c:ext xmlns:c16="http://schemas.microsoft.com/office/drawing/2014/chart" uri="{C3380CC4-5D6E-409C-BE32-E72D297353CC}">
              <c16:uniqueId val="{00000000-8843-4093-9C3B-DBBD8A8C5546}"/>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ElectricVehicles!$B$22:$B$28</c:f>
              <c:strCache>
                <c:ptCount val="7"/>
                <c:pt idx="0">
                  <c:v>TSLA</c:v>
                </c:pt>
                <c:pt idx="1">
                  <c:v>GM</c:v>
                </c:pt>
                <c:pt idx="2">
                  <c:v>CRNC</c:v>
                </c:pt>
                <c:pt idx="3">
                  <c:v>AVAV</c:v>
                </c:pt>
                <c:pt idx="4">
                  <c:v>BB</c:v>
                </c:pt>
                <c:pt idx="5">
                  <c:v>SPY</c:v>
                </c:pt>
                <c:pt idx="6">
                  <c:v>XIU</c:v>
                </c:pt>
              </c:strCache>
            </c:strRef>
          </c:cat>
          <c:val>
            <c:numRef>
              <c:f>ElectricVehicles!$E$22:$E$28</c:f>
              <c:numCache>
                <c:formatCode>0%</c:formatCode>
                <c:ptCount val="7"/>
                <c:pt idx="0">
                  <c:v>-0.21541202201213497</c:v>
                </c:pt>
                <c:pt idx="1">
                  <c:v>-0.33745076978159688</c:v>
                </c:pt>
                <c:pt idx="2">
                  <c:v>-0.85294365366798619</c:v>
                </c:pt>
                <c:pt idx="3">
                  <c:v>-0.35541527228475811</c:v>
                </c:pt>
                <c:pt idx="4">
                  <c:v>-0.61547987616099065</c:v>
                </c:pt>
                <c:pt idx="5">
                  <c:v>2.6830602516346599E-3</c:v>
                </c:pt>
                <c:pt idx="6">
                  <c:v>8.4783413550536799E-2</c:v>
                </c:pt>
              </c:numCache>
            </c:numRef>
          </c:val>
          <c:extLst>
            <c:ext xmlns:c16="http://schemas.microsoft.com/office/drawing/2014/chart" uri="{C3380CC4-5D6E-409C-BE32-E72D297353CC}">
              <c16:uniqueId val="{00000000-55BF-461D-B082-011FBD18ECFB}"/>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BuyNowPayLater!$C$22:$C$28</c:f>
              <c:strCache>
                <c:ptCount val="7"/>
                <c:pt idx="0">
                  <c:v>PRG</c:v>
                </c:pt>
                <c:pt idx="1">
                  <c:v>GSY</c:v>
                </c:pt>
                <c:pt idx="2">
                  <c:v>AFRM</c:v>
                </c:pt>
                <c:pt idx="3">
                  <c:v>AFTPF</c:v>
                </c:pt>
                <c:pt idx="4">
                  <c:v>KPLT</c:v>
                </c:pt>
                <c:pt idx="5">
                  <c:v>SPY</c:v>
                </c:pt>
                <c:pt idx="6">
                  <c:v>XIU</c:v>
                </c:pt>
              </c:strCache>
            </c:strRef>
          </c:cat>
          <c:val>
            <c:numRef>
              <c:f>BuyNowPayLater!$F$22:$F$28</c:f>
              <c:numCache>
                <c:formatCode>0%</c:formatCode>
                <c:ptCount val="7"/>
                <c:pt idx="0">
                  <c:v>-0.74746576560554867</c:v>
                </c:pt>
                <c:pt idx="1">
                  <c:v>4.5671502105755823E-2</c:v>
                </c:pt>
                <c:pt idx="2">
                  <c:v>-0.84259541984732822</c:v>
                </c:pt>
                <c:pt idx="3">
                  <c:v>-0.25168350168350162</c:v>
                </c:pt>
                <c:pt idx="4">
                  <c:v>-0.94199395770392746</c:v>
                </c:pt>
                <c:pt idx="5">
                  <c:v>-1.3493599190127725E-2</c:v>
                </c:pt>
                <c:pt idx="6">
                  <c:v>6.468023255813958E-2</c:v>
                </c:pt>
              </c:numCache>
            </c:numRef>
          </c:val>
          <c:extLst>
            <c:ext xmlns:c16="http://schemas.microsoft.com/office/drawing/2014/chart" uri="{C3380CC4-5D6E-409C-BE32-E72D297353CC}">
              <c16:uniqueId val="{00000000-D4D3-4790-B1E8-43E47660C658}"/>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ForTheConsumer!$B$22:$B$28</c:f>
              <c:strCache>
                <c:ptCount val="7"/>
                <c:pt idx="0">
                  <c:v>FTCH</c:v>
                </c:pt>
                <c:pt idx="1">
                  <c:v>SBUX</c:v>
                </c:pt>
                <c:pt idx="2">
                  <c:v>NKE</c:v>
                </c:pt>
                <c:pt idx="3">
                  <c:v>GOOS</c:v>
                </c:pt>
                <c:pt idx="4">
                  <c:v>LULU</c:v>
                </c:pt>
                <c:pt idx="5">
                  <c:v>SPY</c:v>
                </c:pt>
                <c:pt idx="6">
                  <c:v>XIU</c:v>
                </c:pt>
              </c:strCache>
            </c:strRef>
          </c:cat>
          <c:val>
            <c:numRef>
              <c:f>ForTheConsumer!$E$22:$E$28</c:f>
              <c:numCache>
                <c:formatCode>0%</c:formatCode>
                <c:ptCount val="7"/>
                <c:pt idx="0">
                  <c:v>-0.84112329294095023</c:v>
                </c:pt>
                <c:pt idx="1">
                  <c:v>-0.24619603680113245</c:v>
                </c:pt>
                <c:pt idx="2">
                  <c:v>-0.40576611597019757</c:v>
                </c:pt>
                <c:pt idx="3">
                  <c:v>-0.54365671641791047</c:v>
                </c:pt>
                <c:pt idx="4">
                  <c:v>-0.1183975363633864</c:v>
                </c:pt>
                <c:pt idx="5">
                  <c:v>-9.7723916457654519E-2</c:v>
                </c:pt>
                <c:pt idx="6">
                  <c:v>-4.3421482206986557E-2</c:v>
                </c:pt>
              </c:numCache>
            </c:numRef>
          </c:val>
          <c:extLst>
            <c:ext xmlns:c16="http://schemas.microsoft.com/office/drawing/2014/chart" uri="{C3380CC4-5D6E-409C-BE32-E72D297353CC}">
              <c16:uniqueId val="{00000000-5448-4013-9527-3BEC21244721}"/>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GetOutAndGo!$B$22:$B$28</c:f>
              <c:strCache>
                <c:ptCount val="7"/>
                <c:pt idx="0">
                  <c:v>AC</c:v>
                </c:pt>
                <c:pt idx="1">
                  <c:v>DIS</c:v>
                </c:pt>
                <c:pt idx="2">
                  <c:v>V</c:v>
                </c:pt>
                <c:pt idx="3">
                  <c:v>HLT</c:v>
                </c:pt>
                <c:pt idx="4">
                  <c:v>YETI</c:v>
                </c:pt>
                <c:pt idx="5">
                  <c:v>SPY</c:v>
                </c:pt>
                <c:pt idx="6">
                  <c:v>XIU</c:v>
                </c:pt>
              </c:strCache>
            </c:strRef>
          </c:cat>
          <c:val>
            <c:numRef>
              <c:f>GetOutAndGo!$E$22:$E$28</c:f>
              <c:numCache>
                <c:formatCode>0%</c:formatCode>
                <c:ptCount val="7"/>
                <c:pt idx="0">
                  <c:v>-0.27672713238132002</c:v>
                </c:pt>
                <c:pt idx="1">
                  <c:v>-0.41449730700179538</c:v>
                </c:pt>
                <c:pt idx="2">
                  <c:v>-0.18193678717225711</c:v>
                </c:pt>
                <c:pt idx="3">
                  <c:v>4.9485861182519138E-2</c:v>
                </c:pt>
                <c:pt idx="4">
                  <c:v>-0.6560364464692483</c:v>
                </c:pt>
                <c:pt idx="5">
                  <c:v>-9.7723916457654519E-2</c:v>
                </c:pt>
                <c:pt idx="6">
                  <c:v>-4.3421482206986557E-2</c:v>
                </c:pt>
              </c:numCache>
            </c:numRef>
          </c:val>
          <c:extLst>
            <c:ext xmlns:c16="http://schemas.microsoft.com/office/drawing/2014/chart" uri="{C3380CC4-5D6E-409C-BE32-E72D297353CC}">
              <c16:uniqueId val="{00000000-B908-4260-B1DE-179F1B993F54}"/>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USInfrastructure!$B$22:$B$29</c:f>
              <c:strCache>
                <c:ptCount val="8"/>
                <c:pt idx="0">
                  <c:v>GGG</c:v>
                </c:pt>
                <c:pt idx="1">
                  <c:v>LIN</c:v>
                </c:pt>
                <c:pt idx="2">
                  <c:v>AMT</c:v>
                </c:pt>
                <c:pt idx="3">
                  <c:v>VMC</c:v>
                </c:pt>
                <c:pt idx="4">
                  <c:v>NVEE</c:v>
                </c:pt>
                <c:pt idx="5">
                  <c:v>ADSK</c:v>
                </c:pt>
                <c:pt idx="6">
                  <c:v>SPY</c:v>
                </c:pt>
                <c:pt idx="7">
                  <c:v>XIU</c:v>
                </c:pt>
              </c:strCache>
            </c:strRef>
          </c:cat>
          <c:val>
            <c:numRef>
              <c:f>USInfrastructure!$E$22:$E$29</c:f>
              <c:numCache>
                <c:formatCode>0%</c:formatCode>
                <c:ptCount val="8"/>
                <c:pt idx="0">
                  <c:v>-0.15984506132989038</c:v>
                </c:pt>
                <c:pt idx="1">
                  <c:v>-4.5065942077009633E-2</c:v>
                </c:pt>
                <c:pt idx="2">
                  <c:v>-0.28975662913185618</c:v>
                </c:pt>
                <c:pt idx="3">
                  <c:v>-0.13376748158428525</c:v>
                </c:pt>
                <c:pt idx="4">
                  <c:v>0.44344995931651748</c:v>
                </c:pt>
                <c:pt idx="5">
                  <c:v>-0.34882878531755612</c:v>
                </c:pt>
                <c:pt idx="6">
                  <c:v>-0.13047799765067314</c:v>
                </c:pt>
                <c:pt idx="7">
                  <c:v>-6.1499039077514354E-2</c:v>
                </c:pt>
              </c:numCache>
            </c:numRef>
          </c:val>
          <c:extLst>
            <c:ext xmlns:c16="http://schemas.microsoft.com/office/drawing/2014/chart" uri="{C3380CC4-5D6E-409C-BE32-E72D297353CC}">
              <c16:uniqueId val="{00000000-0DDC-4A67-96A8-DCD4A48E235D}"/>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threePt" dir="t"/>
            </a:scene3d>
            <a:sp3d>
              <a:bevelT/>
            </a:sp3d>
          </c:spPr>
          <c:invertIfNegative val="0"/>
          <c:cat>
            <c:strRef>
              <c:f>Copper!$B$22:$B$29</c:f>
              <c:strCache>
                <c:ptCount val="8"/>
                <c:pt idx="0">
                  <c:v>ERO</c:v>
                </c:pt>
                <c:pt idx="1">
                  <c:v>CMMC</c:v>
                </c:pt>
                <c:pt idx="2">
                  <c:v>CS</c:v>
                </c:pt>
                <c:pt idx="3">
                  <c:v>HBM</c:v>
                </c:pt>
                <c:pt idx="4">
                  <c:v>FM</c:v>
                </c:pt>
                <c:pt idx="5">
                  <c:v>LUN</c:v>
                </c:pt>
                <c:pt idx="6">
                  <c:v>SPY</c:v>
                </c:pt>
                <c:pt idx="7">
                  <c:v>XIU</c:v>
                </c:pt>
              </c:strCache>
            </c:strRef>
          </c:cat>
          <c:val>
            <c:numRef>
              <c:f>Copper!$E$22:$E$29</c:f>
              <c:numCache>
                <c:formatCode>0%</c:formatCode>
                <c:ptCount val="8"/>
                <c:pt idx="0">
                  <c:v>9.6249115357395568E-2</c:v>
                </c:pt>
                <c:pt idx="1">
                  <c:v>0.20408163265306126</c:v>
                </c:pt>
                <c:pt idx="2">
                  <c:v>-6.8322981366459687E-2</c:v>
                </c:pt>
                <c:pt idx="3">
                  <c:v>-5.3016453382084106E-2</c:v>
                </c:pt>
                <c:pt idx="4">
                  <c:v>7.3055436183927777E-2</c:v>
                </c:pt>
                <c:pt idx="5">
                  <c:v>-5.633802816901414E-3</c:v>
                </c:pt>
                <c:pt idx="6">
                  <c:v>1.9952833938366225E-2</c:v>
                </c:pt>
                <c:pt idx="7">
                  <c:v>-6.8212824010912599E-4</c:v>
                </c:pt>
              </c:numCache>
            </c:numRef>
          </c:val>
          <c:extLst>
            <c:ext xmlns:c16="http://schemas.microsoft.com/office/drawing/2014/chart" uri="{C3380CC4-5D6E-409C-BE32-E72D297353CC}">
              <c16:uniqueId val="{00000000-C536-4675-8483-6756C3E44164}"/>
            </c:ext>
          </c:extLst>
        </c:ser>
        <c:dLbls>
          <c:showLegendKey val="0"/>
          <c:showVal val="0"/>
          <c:showCatName val="0"/>
          <c:showSerName val="0"/>
          <c:showPercent val="0"/>
          <c:showBubbleSize val="0"/>
        </c:dLbls>
        <c:gapWidth val="219"/>
        <c:overlap val="-27"/>
        <c:axId val="1677114976"/>
        <c:axId val="1677115392"/>
      </c:barChart>
      <c:catAx>
        <c:axId val="167711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n-US"/>
          </a:p>
        </c:txPr>
        <c:crossAx val="1677115392"/>
        <c:crosses val="autoZero"/>
        <c:auto val="1"/>
        <c:lblAlgn val="ctr"/>
        <c:lblOffset val="100"/>
        <c:noMultiLvlLbl val="0"/>
      </c:catAx>
      <c:valAx>
        <c:axId val="1677115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771149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9</xdr:col>
      <xdr:colOff>395286</xdr:colOff>
      <xdr:row>1</xdr:row>
      <xdr:rowOff>185736</xdr:rowOff>
    </xdr:from>
    <xdr:to>
      <xdr:col>28</xdr:col>
      <xdr:colOff>28575</xdr:colOff>
      <xdr:row>29</xdr:row>
      <xdr:rowOff>142875</xdr:rowOff>
    </xdr:to>
    <xdr:graphicFrame macro="">
      <xdr:nvGraphicFramePr>
        <xdr:cNvPr id="2" name="Chart 1">
          <a:extLst>
            <a:ext uri="{FF2B5EF4-FFF2-40B4-BE49-F238E27FC236}">
              <a16:creationId xmlns:a16="http://schemas.microsoft.com/office/drawing/2014/main" id="{CE0F1AC6-9C75-4A70-A140-1AFF006D90D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385762</xdr:colOff>
      <xdr:row>2</xdr:row>
      <xdr:rowOff>9524</xdr:rowOff>
    </xdr:from>
    <xdr:to>
      <xdr:col>9</xdr:col>
      <xdr:colOff>581025</xdr:colOff>
      <xdr:row>18</xdr:row>
      <xdr:rowOff>9525</xdr:rowOff>
    </xdr:to>
    <xdr:graphicFrame macro="">
      <xdr:nvGraphicFramePr>
        <xdr:cNvPr id="2" name="Chart 1">
          <a:extLst>
            <a:ext uri="{FF2B5EF4-FFF2-40B4-BE49-F238E27FC236}">
              <a16:creationId xmlns:a16="http://schemas.microsoft.com/office/drawing/2014/main" id="{16B3DD9E-B5A3-4935-AEC1-F3703E69F5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385762</xdr:colOff>
      <xdr:row>1</xdr:row>
      <xdr:rowOff>190499</xdr:rowOff>
    </xdr:from>
    <xdr:to>
      <xdr:col>8</xdr:col>
      <xdr:colOff>542925</xdr:colOff>
      <xdr:row>17</xdr:row>
      <xdr:rowOff>180975</xdr:rowOff>
    </xdr:to>
    <xdr:graphicFrame macro="">
      <xdr:nvGraphicFramePr>
        <xdr:cNvPr id="2" name="Chart 1">
          <a:extLst>
            <a:ext uri="{FF2B5EF4-FFF2-40B4-BE49-F238E27FC236}">
              <a16:creationId xmlns:a16="http://schemas.microsoft.com/office/drawing/2014/main" id="{14182B65-01F4-4CFD-8093-9CCB691A5FE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385762</xdr:colOff>
      <xdr:row>2</xdr:row>
      <xdr:rowOff>9524</xdr:rowOff>
    </xdr:from>
    <xdr:to>
      <xdr:col>8</xdr:col>
      <xdr:colOff>542925</xdr:colOff>
      <xdr:row>18</xdr:row>
      <xdr:rowOff>9525</xdr:rowOff>
    </xdr:to>
    <xdr:graphicFrame macro="">
      <xdr:nvGraphicFramePr>
        <xdr:cNvPr id="2" name="Chart 1">
          <a:extLst>
            <a:ext uri="{FF2B5EF4-FFF2-40B4-BE49-F238E27FC236}">
              <a16:creationId xmlns:a16="http://schemas.microsoft.com/office/drawing/2014/main" id="{9D92A499-0CE1-467E-8104-D76B3141E1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385762</xdr:colOff>
      <xdr:row>1</xdr:row>
      <xdr:rowOff>190499</xdr:rowOff>
    </xdr:from>
    <xdr:to>
      <xdr:col>8</xdr:col>
      <xdr:colOff>542925</xdr:colOff>
      <xdr:row>17</xdr:row>
      <xdr:rowOff>180975</xdr:rowOff>
    </xdr:to>
    <xdr:graphicFrame macro="">
      <xdr:nvGraphicFramePr>
        <xdr:cNvPr id="2" name="Chart 1">
          <a:extLst>
            <a:ext uri="{FF2B5EF4-FFF2-40B4-BE49-F238E27FC236}">
              <a16:creationId xmlns:a16="http://schemas.microsoft.com/office/drawing/2014/main" id="{67CBD31C-9C21-43B7-9F03-8492E797A7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385762</xdr:colOff>
      <xdr:row>1</xdr:row>
      <xdr:rowOff>200024</xdr:rowOff>
    </xdr:from>
    <xdr:to>
      <xdr:col>8</xdr:col>
      <xdr:colOff>542925</xdr:colOff>
      <xdr:row>18</xdr:row>
      <xdr:rowOff>0</xdr:rowOff>
    </xdr:to>
    <xdr:graphicFrame macro="">
      <xdr:nvGraphicFramePr>
        <xdr:cNvPr id="2" name="Chart 1">
          <a:extLst>
            <a:ext uri="{FF2B5EF4-FFF2-40B4-BE49-F238E27FC236}">
              <a16:creationId xmlns:a16="http://schemas.microsoft.com/office/drawing/2014/main" id="{57B32A53-78BA-4CC9-A8B2-74D7FED205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385762</xdr:colOff>
      <xdr:row>1</xdr:row>
      <xdr:rowOff>200024</xdr:rowOff>
    </xdr:from>
    <xdr:to>
      <xdr:col>8</xdr:col>
      <xdr:colOff>542925</xdr:colOff>
      <xdr:row>18</xdr:row>
      <xdr:rowOff>0</xdr:rowOff>
    </xdr:to>
    <xdr:graphicFrame macro="">
      <xdr:nvGraphicFramePr>
        <xdr:cNvPr id="2" name="Chart 1">
          <a:extLst>
            <a:ext uri="{FF2B5EF4-FFF2-40B4-BE49-F238E27FC236}">
              <a16:creationId xmlns:a16="http://schemas.microsoft.com/office/drawing/2014/main" id="{4E4B9668-3C3D-4D8E-BF3A-F3DA85A4B1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385762</xdr:colOff>
      <xdr:row>2</xdr:row>
      <xdr:rowOff>19049</xdr:rowOff>
    </xdr:from>
    <xdr:to>
      <xdr:col>8</xdr:col>
      <xdr:colOff>542925</xdr:colOff>
      <xdr:row>18</xdr:row>
      <xdr:rowOff>19050</xdr:rowOff>
    </xdr:to>
    <xdr:graphicFrame macro="">
      <xdr:nvGraphicFramePr>
        <xdr:cNvPr id="2" name="Chart 1">
          <a:extLst>
            <a:ext uri="{FF2B5EF4-FFF2-40B4-BE49-F238E27FC236}">
              <a16:creationId xmlns:a16="http://schemas.microsoft.com/office/drawing/2014/main" id="{48B1AB93-2801-4CBD-A200-A78721A253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385762</xdr:colOff>
      <xdr:row>2</xdr:row>
      <xdr:rowOff>9524</xdr:rowOff>
    </xdr:from>
    <xdr:to>
      <xdr:col>8</xdr:col>
      <xdr:colOff>542925</xdr:colOff>
      <xdr:row>18</xdr:row>
      <xdr:rowOff>9525</xdr:rowOff>
    </xdr:to>
    <xdr:graphicFrame macro="">
      <xdr:nvGraphicFramePr>
        <xdr:cNvPr id="2" name="Chart 1">
          <a:extLst>
            <a:ext uri="{FF2B5EF4-FFF2-40B4-BE49-F238E27FC236}">
              <a16:creationId xmlns:a16="http://schemas.microsoft.com/office/drawing/2014/main" id="{CDF4055C-61D9-4633-A3C6-D48BF09131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385762</xdr:colOff>
      <xdr:row>1</xdr:row>
      <xdr:rowOff>190499</xdr:rowOff>
    </xdr:from>
    <xdr:to>
      <xdr:col>9</xdr:col>
      <xdr:colOff>504825</xdr:colOff>
      <xdr:row>17</xdr:row>
      <xdr:rowOff>180975</xdr:rowOff>
    </xdr:to>
    <xdr:graphicFrame macro="">
      <xdr:nvGraphicFramePr>
        <xdr:cNvPr id="2" name="Chart 1">
          <a:extLst>
            <a:ext uri="{FF2B5EF4-FFF2-40B4-BE49-F238E27FC236}">
              <a16:creationId xmlns:a16="http://schemas.microsoft.com/office/drawing/2014/main" id="{B00D038F-1E77-4672-BE7B-763A383242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385762</xdr:colOff>
      <xdr:row>2</xdr:row>
      <xdr:rowOff>19049</xdr:rowOff>
    </xdr:from>
    <xdr:to>
      <xdr:col>8</xdr:col>
      <xdr:colOff>542925</xdr:colOff>
      <xdr:row>18</xdr:row>
      <xdr:rowOff>19050</xdr:rowOff>
    </xdr:to>
    <xdr:graphicFrame macro="">
      <xdr:nvGraphicFramePr>
        <xdr:cNvPr id="2" name="Chart 1">
          <a:extLst>
            <a:ext uri="{FF2B5EF4-FFF2-40B4-BE49-F238E27FC236}">
              <a16:creationId xmlns:a16="http://schemas.microsoft.com/office/drawing/2014/main" id="{C1059AC4-55AF-4173-901C-AEE84016D7F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385762</xdr:colOff>
      <xdr:row>2</xdr:row>
      <xdr:rowOff>19049</xdr:rowOff>
    </xdr:from>
    <xdr:to>
      <xdr:col>8</xdr:col>
      <xdr:colOff>542925</xdr:colOff>
      <xdr:row>18</xdr:row>
      <xdr:rowOff>19050</xdr:rowOff>
    </xdr:to>
    <xdr:graphicFrame macro="">
      <xdr:nvGraphicFramePr>
        <xdr:cNvPr id="2" name="Chart 1">
          <a:extLst>
            <a:ext uri="{FF2B5EF4-FFF2-40B4-BE49-F238E27FC236}">
              <a16:creationId xmlns:a16="http://schemas.microsoft.com/office/drawing/2014/main" id="{4941AD27-D705-4F24-A72E-A906E11A06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385762</xdr:colOff>
      <xdr:row>2</xdr:row>
      <xdr:rowOff>19049</xdr:rowOff>
    </xdr:from>
    <xdr:to>
      <xdr:col>8</xdr:col>
      <xdr:colOff>542925</xdr:colOff>
      <xdr:row>18</xdr:row>
      <xdr:rowOff>19050</xdr:rowOff>
    </xdr:to>
    <xdr:graphicFrame macro="">
      <xdr:nvGraphicFramePr>
        <xdr:cNvPr id="2" name="Chart 1">
          <a:extLst>
            <a:ext uri="{FF2B5EF4-FFF2-40B4-BE49-F238E27FC236}">
              <a16:creationId xmlns:a16="http://schemas.microsoft.com/office/drawing/2014/main" id="{5D84547A-F9B7-4369-912A-C203543DDC3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385762</xdr:colOff>
      <xdr:row>2</xdr:row>
      <xdr:rowOff>19049</xdr:rowOff>
    </xdr:from>
    <xdr:to>
      <xdr:col>8</xdr:col>
      <xdr:colOff>542925</xdr:colOff>
      <xdr:row>18</xdr:row>
      <xdr:rowOff>19050</xdr:rowOff>
    </xdr:to>
    <xdr:graphicFrame macro="">
      <xdr:nvGraphicFramePr>
        <xdr:cNvPr id="2" name="Chart 1">
          <a:extLst>
            <a:ext uri="{FF2B5EF4-FFF2-40B4-BE49-F238E27FC236}">
              <a16:creationId xmlns:a16="http://schemas.microsoft.com/office/drawing/2014/main" id="{F63EC9CA-109F-4DA0-A5E2-9C04E558C8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imageurl">
      <keyFlags>
        <key name="Blip Identifier">
          <flag name="ShowInCardView" value="0"/>
        </key>
      </keyFlags>
    </type>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 name="%OutdatedReason">
          <flag name="ShowInCardView" value="0"/>
          <flag name="ShowInDotNotation" value="0"/>
          <flag name="ShowInAutoComplete" value="0"/>
          <flag name="ExcludeFromCalcComparison" value="1"/>
        </key>
      </keyFlags>
    </type>
  </types>
</rvTypesInfo>
</file>

<file path=xl/richData/rdrichvalue.xml><?xml version="1.0" encoding="utf-8"?>
<rvData xmlns="http://schemas.microsoft.com/office/spreadsheetml/2017/richdata" count="286">
  <rv s="0">
    <v>https://www.bing.com/financeapi/forcetrigger?t=a1yy2w&amp;q=XNAS%3aNXPI&amp;form=skydnc</v>
    <v>Learn more on Bing</v>
  </rv>
  <rv s="1">
    <v>en-CA</v>
    <v>a1yy2w</v>
    <v>268435456</v>
    <v>1</v>
    <v>Powered by Refinitiv</v>
    <v>0</v>
    <v>NXP Semiconductors NV (XNAS:NXPI)</v>
    <v>2</v>
    <v>3</v>
    <v>Finance</v>
    <v>4</v>
    <v>239.91</v>
    <v>132.08000000000001</v>
    <v>1.4447000000000001</v>
    <v>3.8</v>
    <v>-9.7490000000000007E-3</v>
    <v>2.6217999999999998E-2</v>
    <v>-1.45</v>
    <v>USD</v>
    <v>NXP Semiconductors NV (NXP) is The Netherlands-based holding company. The Company operates as a semiconductor company. The Company provides high performance mixed signal analog-digital (mixed A/D) and standard product solutions. Its product solutions are used in a range of end-market applications, including automotive, personal security and identification, industrial &amp; Internet of Things (IoT), wireless and wireline infrastructure, mobile communications, multi-market industrial, consumer and computing. It engages with global original equipment manufacturers (OEMs). The Company sells products in all geographic regions and countries: China, USA, Japan, Malaysia, South Korea, Germany, The Netherlands, and others.</v>
    <v>31000</v>
    <v>Nasdaq Stock Market</v>
    <v>XNAS</v>
    <v>XNAS</v>
    <v>High Tech Campus 60, EINDHOVEN, NOORD-BRABANT, 5656AG NL</v>
    <v>148.79</v>
    <v>Semiconductors &amp; Semiconductor Equipment</v>
    <v>Stock</v>
    <v>44859.999696863284</v>
    <v>0</v>
    <v>144.81</v>
    <v>39058900890</v>
    <v>NXP Semiconductors NV</v>
    <v>NXP Semiconductors NV</v>
    <v>145.44</v>
    <v>15.822100000000001</v>
    <v>144.94</v>
    <v>148.74</v>
    <v>147.29</v>
    <v>262598500</v>
    <v>NXPI</v>
    <v>NXP Semiconductors NV (XNAS:NXPI)</v>
    <v>2831861</v>
    <v>2255921</v>
    <v>2010</v>
  </rv>
  <rv s="2">
    <v>1</v>
  </rv>
  <rv s="0">
    <v>https://www.bing.com/financeapi/forcetrigger?t=a1u6sm&amp;q=XNYS%3aGRMN&amp;form=skydnc</v>
    <v>Learn more on Bing</v>
  </rv>
  <rv s="1">
    <v>en-CA</v>
    <v>a1u6sm</v>
    <v>268435456</v>
    <v>1</v>
    <v>Powered by Refinitiv</v>
    <v>0</v>
    <v>Garmin Ltd (XNYS:GRMN)</v>
    <v>2</v>
    <v>3</v>
    <v>Finance</v>
    <v>4</v>
    <v>165.71</v>
    <v>76.37</v>
    <v>0.96779999999999999</v>
    <v>2.23</v>
    <v>-1.2959999999999998E-3</v>
    <v>2.6977999999999999E-2</v>
    <v>-0.11</v>
    <v>USD</v>
    <v>Garmin Ltd. (Garmin) is a Switzerland-based entity. The Company and its subsidiaries offer global positioning system (GPS) navigation and wireless devices and applications. The Company operates through five segments: fitness, outdoor, aviation, marine and auto. It offers a range of auto navigation products, as well as a range of products and applications designed for the mobile GPS market. It offers Outdoor Handhelds, Wearable Devices, Golf Devices, and Dog Tracking and Training/Pet Obedience Devices. Garmin offers various products designed for use in fitness and activity tracking. Company’s aviation business segment is a provider of solutions to aircraft manufacturers, existing aircraft owners and operators, as well as military and government customers and serves a range of aircraft, including transport aircraft, business aviation, general aviation, experimental/light sport, helicopters, optionally piloted vehicles, and unmanned aerial vehicles. Company operates worldwide.</v>
    <v>18700</v>
    <v>New York Stock Exchange</v>
    <v>XNYS</v>
    <v>XNYS</v>
    <v>Muehlentalstrasse 2, SCHAFFHAUSEN, SCHAFFHAUSEN, 8200 CH</v>
    <v>84.944999999999993</v>
    <v>Communications &amp; Networking</v>
    <v>Stock</v>
    <v>44859.958333356248</v>
    <v>3</v>
    <v>82.51</v>
    <v>15941410000</v>
    <v>Garmin Ltd</v>
    <v>Garmin Ltd</v>
    <v>82.84</v>
    <v>15.7532</v>
    <v>82.66</v>
    <v>84.89</v>
    <v>84.78</v>
    <v>192855100</v>
    <v>GRMN</v>
    <v>Garmin Ltd (XNYS:GRMN)</v>
    <v>1592265</v>
    <v>1110816</v>
    <v>2010</v>
  </rv>
  <rv s="2">
    <v>4</v>
  </rv>
  <rv s="0">
    <v>https://www.bing.com/financeapi/forcetrigger?t=a23mec&amp;q=XNYS%3aSSTK&amp;form=skydnc</v>
    <v>Learn more on Bing</v>
  </rv>
  <rv s="1">
    <v>en-CA</v>
    <v>a23mec</v>
    <v>268435456</v>
    <v>1</v>
    <v>Powered by Refinitiv</v>
    <v>0</v>
    <v>SHUTTERSTOCK, INC. (XNYS:SSTK)</v>
    <v>2</v>
    <v>3</v>
    <v>Finance</v>
    <v>4</v>
    <v>128.36000000000001</v>
    <v>45.72</v>
    <v>1.077</v>
    <v>4.82</v>
    <v>7.1089999999999999E-3</v>
    <v>0.105194</v>
    <v>0.36</v>
    <v>USD</v>
    <v>Shutterstock, Inc. is a provider of global creative platform that offers full-service solutions, content, and tools for brands, businesses, and media companies. The Company's content is distributed to customers under the Shutterstock, Bigstock, Offset and PremiumBeat brands. Its Shutterstock brand includes various content types and offerings such as image, footage, music, 3Dimensional (3D), and creative design software. Its Bigstock brand maintains a separate content library tailored for creators seeking to incorporate imagery into their projects. Its Offset brand provides content for high-impact use cases that require images, featuring work from top assignment photographers and illustrators from around the world. Its PremiumBeat’s library of music tracks provides producers, filmmakers, and marketers the ability to search handpicked production music from the composers. Its online platform provides a freely searchable collection of content that its users.</v>
    <v>1148</v>
    <v>New York Stock Exchange</v>
    <v>XNYS</v>
    <v>XNYS</v>
    <v>350 5th Ave Fl 21, NEW YORK, NY, 10118-2100 US</v>
    <v>52.44</v>
    <v>Software &amp; IT Services</v>
    <v>Stock</v>
    <v>44859.968878633597</v>
    <v>6</v>
    <v>46.81</v>
    <v>1821441801</v>
    <v>SHUTTERSTOCK, INC.</v>
    <v>SHUTTERSTOCK, INC.</v>
    <v>48.1</v>
    <v>21.4925</v>
    <v>45.82</v>
    <v>50.64</v>
    <v>51</v>
    <v>35968440</v>
    <v>SSTK</v>
    <v>SHUTTERSTOCK, INC. (XNYS:SSTK)</v>
    <v>951115</v>
    <v>354783</v>
    <v>2012</v>
  </rv>
  <rv s="2">
    <v>7</v>
  </rv>
  <rv s="0">
    <v>https://www.bing.com/financeapi/forcetrigger?t=brijoc&amp;q=XNAS%3aCRNC&amp;form=skydnc</v>
    <v>Learn more on Bing</v>
  </rv>
  <rv s="1">
    <v>en-CA</v>
    <v>brijoc</v>
    <v>268435456</v>
    <v>1</v>
    <v>Powered by Refinitiv</v>
    <v>0</v>
    <v>Cerence Inc. (XNAS:CRNC)</v>
    <v>2</v>
    <v>3</v>
    <v>Finance</v>
    <v>4</v>
    <v>114.85</v>
    <v>14.09</v>
    <v>1.621</v>
    <v>1.58</v>
    <v>-2.4055E-2</v>
    <v>9.9496000000000001E-2</v>
    <v>-0.42</v>
    <v>USD</v>
    <v>Cerence Inc. is a provider of artificial intelligence (AI)-powered assistants for connected and autonomous vehicles. The Company is primarily engaged in selling software licenses and cloud-connected services. Its software platform is used to build virtual assistants that can communicate, find information and take action across an expanding variety of categories. Its software platform has a hybrid architecture combining software components with cloud-connected components. Edge software components are installed on a vehicle head unit and can operate without access to external networks and information. Its cloud-connected components include various speech and natural language understanding-related technologies, AI-enabled personalization and context-based response frameworks, and a content integration platform. It delivers its solutions on a white-label basis, enabling its customers to deliver customized virtual assistants with branded personalities.</v>
    <v>1700</v>
    <v>Nasdaq Stock Market</v>
    <v>XNAS</v>
    <v>XNAS</v>
    <v>15 Wayside Rd, BURLINGTON, MA, 01880 US</v>
    <v>17.489999999999998</v>
    <v>Software &amp; IT Services</v>
    <v>Stock</v>
    <v>44859.914161828128</v>
    <v>9</v>
    <v>15.96</v>
    <v>687632767</v>
    <v>Cerence Inc.</v>
    <v>Cerence Inc.</v>
    <v>16</v>
    <v>28.860800000000001</v>
    <v>15.88</v>
    <v>17.46</v>
    <v>17.04</v>
    <v>39383320</v>
    <v>CRNC</v>
    <v>Cerence Inc. (XNAS:CRNC)</v>
    <v>530389</v>
    <v>521876</v>
    <v>2019</v>
  </rv>
  <rv s="2">
    <v>10</v>
  </rv>
  <rv s="0">
    <v>https://www.bing.com/financeapi/forcetrigger?t=a1qc1h&amp;q=XNYS%3aCRM&amp;form=skydnc</v>
    <v>Learn more on Bing</v>
  </rv>
  <rv s="1">
    <v>en-CA</v>
    <v>a1qc1h</v>
    <v>268435456</v>
    <v>1</v>
    <v>Powered by Refinitiv</v>
    <v>0</v>
    <v>SALESFORCE, INC. (XNYS:CRM)</v>
    <v>2</v>
    <v>3</v>
    <v>Finance</v>
    <v>4</v>
    <v>311.75</v>
    <v>137.59</v>
    <v>1.119</v>
    <v>4.62</v>
    <v>-3.1886999999999999E-2</v>
    <v>2.8757999999999999E-2</v>
    <v>-5.27</v>
    <v>USD</v>
    <v>Salesforce, Inc., formerly Salesforce.com, Inc., is a provider of customer relationship management (CRM) platform. Its Customer 360 platform delivers a source, which connects customer data across systems, applications and devices to help companies sell, service, market and conduct commerce from anywhere. It focuses on cloud, mobile, social, analytics and artificial intelligence, which connect to its customers and enable companies to transform their businesses. It also enables third parties to use its platform and developer tools to create additional functionality and applications that run on its platform. Its customers use its sales offering to store data, monitor leads and progress, forecast opportunities, gain insights through analytics and relationship intelligence and deliver quotes, contracts and invoices. Its service offering helps to connect its service agents with customers across any touchpoint. It helps customers to resolve routine issues with predictions and recommendations.</v>
    <v>73541</v>
    <v>New York Stock Exchange</v>
    <v>XNYS</v>
    <v>XNYS</v>
    <v>SALESFORCE TOWER, 415 MISSION STREET 3RD FL, SAN FRANCISCO, CA, 94105 US</v>
    <v>166.03</v>
    <v>Software &amp; IT Services</v>
    <v>Stock</v>
    <v>44859.999970659374</v>
    <v>12</v>
    <v>161.685</v>
    <v>165270000000</v>
    <v>SALESFORCE, INC.</v>
    <v>SALESFORCE, INC.</v>
    <v>161.69999999999999</v>
    <v>300.28039999999999</v>
    <v>160.65</v>
    <v>165.27</v>
    <v>160</v>
    <v>1000000000</v>
    <v>CRM</v>
    <v>SALESFORCE, INC. (XNYS:CRM)</v>
    <v>5804513</v>
    <v>7388783</v>
    <v>1999</v>
  </rv>
  <rv s="2">
    <v>13</v>
  </rv>
  <rv s="0">
    <v>https://www.bing.com/financeapi/forcetrigger?t=a1sar7&amp;q=XNAS%3aETSY&amp;form=skydnc</v>
    <v>Learn more on Bing</v>
  </rv>
  <rv s="1">
    <v>en-CA</v>
    <v>a1sar7</v>
    <v>268435456</v>
    <v>1</v>
    <v>Powered by Refinitiv</v>
    <v>0</v>
    <v>ETSY, INC. (XNAS:ETSY)</v>
    <v>2</v>
    <v>3</v>
    <v>Finance</v>
    <v>4</v>
    <v>307.75</v>
    <v>67.010000000000005</v>
    <v>1.7699</v>
    <v>1.17</v>
    <v>-3.6226000000000001E-2</v>
    <v>1.1463000000000001E-2</v>
    <v>-3.74</v>
    <v>USD</v>
    <v>Etsy, Inc. (Etsy) operates two-sided online marketplaces that connect people and buyers, and sellers around the world. The Company operates through four segments: Etsy, Reverb, Depop, and Elo7. The Company’s primary marketplace, Etsy.com, is the global destination for goods made by independent sellers. Its Reverb is a two-sided marketplace on the principle that buying and selling musical instruments should be easy. The Company’s Depop is dedicated to building the diverse and progressive home of fashion. Its Elo7, known as the Etsy of Brazil, specializes in custom and made-to-order merchandise. Its Elo7 marketplace includes items in over 40 retail categories. Its services include on-site advertising services, which allow Etsy sellers to pay for placement of its listings in search results, and shipping labels, which allow Etsy sellers in the United States, Canada, United Kingdom, Australia, and India to purchase discounted shipping labels.</v>
    <v>2722</v>
    <v>Nasdaq Stock Market</v>
    <v>XNAS</v>
    <v>XNAS</v>
    <v>117 Adams Street, BROOKLYN, NY, 11201 US</v>
    <v>104.47499999999999</v>
    <v>Diversified Retail</v>
    <v>Stock</v>
    <v>44859.999944062503</v>
    <v>15</v>
    <v>100.31</v>
    <v>13071102836</v>
    <v>ETSY, INC.</v>
    <v>ETSY, INC.</v>
    <v>102.09</v>
    <v>36.570900000000002</v>
    <v>102.07</v>
    <v>103.24</v>
    <v>99.5</v>
    <v>126608900</v>
    <v>ETSY</v>
    <v>ETSY, INC. (XNAS:ETSY)</v>
    <v>3227916</v>
    <v>3120689</v>
    <v>2006</v>
  </rv>
  <rv s="2">
    <v>16</v>
  </rv>
  <rv s="0">
    <v>https://www.bing.com/financeapi/forcetrigger?t=bjo577&amp;q=XNYS%3aFTCH&amp;form=skydnc</v>
    <v>Learn more on Bing</v>
  </rv>
  <rv s="1">
    <v>en-CA</v>
    <v>bjo577</v>
    <v>268435456</v>
    <v>1</v>
    <v>Powered by Refinitiv</v>
    <v>0</v>
    <v>FARFETCH LIMITED (XNYS:FTCH)</v>
    <v>2</v>
    <v>3</v>
    <v>Finance</v>
    <v>4</v>
    <v>47.3</v>
    <v>6.52</v>
    <v>2.7717999999999998</v>
    <v>0.94</v>
    <v>-3.9952000000000001E-2</v>
    <v>0.128415</v>
    <v>-0.33</v>
    <v>USD</v>
    <v>Farfetch Limited is a global platform for the luxury fashion industry. The Company is the meeting point for more than 1,300 brands, boutiques, and shopping centers located in more than 50 countries. The Company operates through three segments: Digital Platform, Brand Platform, and In-Store. The Digital Platform segment activities include the Farfetch Marketplace, FPS, BrownsFashion.com, StadiumGoods.com, Farfetch Future Retail, and other online sales channels operated by the Company, including the respective Websites of the brands in the New Guards portfolio. The Digital Platform segment also includes direct-to-consumer sales of owned products. The Brand Platform segment is comprised of production and wholesale distribution of brands owned and licensed by New Guards and includes franchised store operations. The In-Store segment covers the activities of stores it operates, including Browns, Stadium Goods, and certain brands in the New Guards portfolio.</v>
    <v>6464</v>
    <v>New York Stock Exchange</v>
    <v>XNYS</v>
    <v>XNYS</v>
    <v>The Bower, 4th Floor, 211 Old Street, LONDON, UNITED KINGDOM-NA, EC1V 9NR GB</v>
    <v>8.2799999999999994</v>
    <v>Software &amp; IT Services</v>
    <v>Stock</v>
    <v>44859.998500068752</v>
    <v>18</v>
    <v>7.42</v>
    <v>3145253538</v>
    <v>FARFETCH LIMITED</v>
    <v>FARFETCH LIMITED</v>
    <v>7.43</v>
    <v>2.0121000000000002</v>
    <v>7.32</v>
    <v>8.26</v>
    <v>7.93</v>
    <v>380781300</v>
    <v>FTCH</v>
    <v>FARFETCH LIMITED (XNYS:FTCH)</v>
    <v>7019726</v>
    <v>7946046</v>
    <v>2018</v>
  </rv>
  <rv s="2">
    <v>19</v>
  </rv>
  <rv s="0">
    <v>https://www.bing.com/financeapi/forcetrigger?t=a1vmf2&amp;q=XNAS%3aINTC&amp;form=skydnc</v>
    <v>Learn more on Bing</v>
  </rv>
  <rv s="1">
    <v>en-CA</v>
    <v>a1vmf2</v>
    <v>268435456</v>
    <v>1</v>
    <v>Powered by Refinitiv</v>
    <v>0</v>
    <v>INTEL CORPORATION (XNAS:INTC)</v>
    <v>2</v>
    <v>3</v>
    <v>Finance</v>
    <v>4</v>
    <v>56.28</v>
    <v>24.59</v>
    <v>0.71430000000000005</v>
    <v>0.23</v>
    <v>-1.5688000000000001E-2</v>
    <v>8.461999999999999E-3</v>
    <v>-0.43</v>
    <v>USD</v>
    <v>Intel Corporation is engaged in designing and manufacturing products and technologies. The Company's segments include Client Computing Group (CCG), Data Center Group (DCG), Internet of Things Group (IOTG), Mobileye, Non-Volatile Memory Solutions Group (NSG) and Programmable Solutions Group (PSG). The CCG segment is focused on long-term operating system, system architecture, hardware, and application integration that enable PC experiences. The DCG segment develops workload-optimized platforms for compute, storage, and network functions. The IOTG segment develops high-performance compute platforms that solve the technology needs for business use cases that scale across vertical industries and embedded markets. The Mobileye segment provides driving assistance and self-driving solutions. The NSG segment provides memory and storage products based on Intel 3D NAND technology. The PSG segment offers programmable semiconductors, primarily FPGAs, structured ASICs, and related products.</v>
    <v>121100</v>
    <v>Nasdaq Stock Market</v>
    <v>XNAS</v>
    <v>XNAS</v>
    <v>RNB-4-151, 2200 MISSION COLLEGE BLVD, SANTA CLARA, CA, 95054 US</v>
    <v>27.555</v>
    <v>Semiconductors &amp; Semiconductor Equipment</v>
    <v>Stock</v>
    <v>44859.999981654684</v>
    <v>21</v>
    <v>27</v>
    <v>112545460000</v>
    <v>INTEL CORPORATION</v>
    <v>INTEL CORPORATION</v>
    <v>27.18</v>
    <v>5.8293999999999997</v>
    <v>27.18</v>
    <v>27.41</v>
    <v>26.98</v>
    <v>4106000000</v>
    <v>INTC</v>
    <v>INTEL CORPORATION (XNAS:INTC)</v>
    <v>32205300</v>
    <v>42796085</v>
    <v>1989</v>
  </rv>
  <rv s="2">
    <v>22</v>
  </rv>
  <rv s="0">
    <v>https://www.bing.com/financeapi/forcetrigger?t=a24nyc&amp;q=XNYS%3aTWLO&amp;form=skydnc</v>
    <v>Learn more on Bing</v>
  </rv>
  <rv s="1">
    <v>en-CA</v>
    <v>a24nyc</v>
    <v>268435456</v>
    <v>1</v>
    <v>Powered by Refinitiv</v>
    <v>0</v>
    <v>TWILIO INC. (XNYS:TWLO)</v>
    <v>2</v>
    <v>3</v>
    <v>Finance</v>
    <v>4</v>
    <v>363.8</v>
    <v>62.1</v>
    <v>1.4777</v>
    <v>2.6</v>
    <v>-4.1901000000000001E-2</v>
    <v>3.5130000000000002E-2</v>
    <v>-3.21</v>
    <v>USD</v>
    <v>Twilio Inc. offers cloud communications platform, which enables developers to build, scale and operate real-time communications within software applications. The Company offers a customer engagement platform with software designed to address specific use cases, like account security and contact centers, and a set of Application Programming Interfaces (APIs). It also offers a set of APIs that enable developers to embed voice, messaging, video and email capabilities into their applications, and are designed to support all the fundamental ways humans communicate to address any communication market. The Super Network is its software layer that allows its customers' software to communicate with connected devices globally. It interconnects with communications networks and inbox service providers around the world. The Super Network also contains a set of APIs giving its customers access to foundational components of its platform, like phone numbers and session initiation protocol Trunking.</v>
    <v>8510</v>
    <v>New York Stock Exchange</v>
    <v>XNYS</v>
    <v>XNYS</v>
    <v>101 SPEAR STREET, FIFTH FLOOR, SAN FRANCISCO, CA, 94105 US</v>
    <v>76.77</v>
    <v>Software &amp; IT Services</v>
    <v>Stock</v>
    <v>44859.999097707812</v>
    <v>24</v>
    <v>74.125</v>
    <v>14029244555</v>
    <v>TWILIO INC.</v>
    <v>TWILIO INC.</v>
    <v>75.7</v>
    <v>0</v>
    <v>74.010000000000005</v>
    <v>76.61</v>
    <v>73.400000000000006</v>
    <v>183125500</v>
    <v>TWLO</v>
    <v>TWILIO INC. (XNYS:TWLO)</v>
    <v>5035562</v>
    <v>3354987</v>
    <v>2008</v>
  </rv>
  <rv s="2">
    <v>25</v>
  </rv>
  <rv s="0">
    <v>http://en.wikipedia.org/wiki/Public_domain</v>
    <v>Public domain</v>
  </rv>
  <rv s="0">
    <v>https://en.wikipedia.org/wiki/Microsoft</v>
    <v>Wikipedia</v>
  </rv>
  <rv s="3">
    <v>27</v>
    <v>28</v>
  </rv>
  <rv s="4">
    <v>9</v>
    <v>https://www.bing.com/th?id=AMMS_e6e837c7bf3a77408619758b7447855a&amp;qlt=95</v>
    <v>29</v>
    <v>0</v>
    <v>https://www.bing.com/images/search?form=xlimg&amp;q=microsoft</v>
    <v>Image of MICROSOFT CORPORATION</v>
  </rv>
  <rv s="0">
    <v>https://www.bing.com/financeapi/forcetrigger?t=a1xzim&amp;q=XNAS%3aMSFT&amp;form=skydnc</v>
    <v>Learn more on Bing</v>
  </rv>
  <rv s="5">
    <v>en-CA</v>
    <v>a1xzim</v>
    <v>268435456</v>
    <v>1</v>
    <v>Powered by Refinitiv</v>
    <v>5</v>
    <v>MICROSOFT CORPORATION (XNAS:MSFT)</v>
    <v>7</v>
    <v>8</v>
    <v>Finance</v>
    <v>4</v>
    <v>349.67</v>
    <v>219.13</v>
    <v>0.95760000000000001</v>
    <v>3.41</v>
    <v>-6.6983000000000001E-2</v>
    <v>1.3792E-2</v>
    <v>-16.79</v>
    <v>USD</v>
    <v>Microsoft Corporation is a technology company. The Company develops and supports software, services, devices, and solutions. Its segments include Productivity and Business Processes, Intelligent Cloud, and More Personal Computing. The Productivity and Business Processes segment consists of products and services in its portfolio of productivity, communication, and information services, spanning a variety of devices and platforms. This segment includes Office Consumer, LinkedIn, dynamics business solutions, and Office Commercial. The Intelligent Cloud segment consists of public, private, and hybrid server products and cloud services that can power modern businesses and developers. This segment includes server products and cloud services, and enterprise services. The More Personal Computing segment consists of products and services that put customers at the centre of the experience with its technology. This segment includes Windows, devices, gaming, and search and news advertising.</v>
    <v>221000</v>
    <v>Nasdaq Stock Market</v>
    <v>XNAS</v>
    <v>XNAS</v>
    <v>One Microsoft Way, REDMOND, WA, 98052-6399 US</v>
    <v>251.04</v>
    <v>30</v>
    <v>Software &amp; IT Services</v>
    <v>Stock</v>
    <v>44859.999996238279</v>
    <v>31</v>
    <v>245.83</v>
    <v>1869395208720</v>
    <v>MICROSOFT CORPORATION</v>
    <v>MICROSOFT CORPORATION</v>
    <v>247.26</v>
    <v>25.6358</v>
    <v>247.25</v>
    <v>250.66</v>
    <v>233.87</v>
    <v>7457892000</v>
    <v>MSFT</v>
    <v>MICROSOFT CORPORATION (XNAS:MSFT)</v>
    <v>34775505</v>
    <v>28476862</v>
    <v>1993</v>
  </rv>
  <rv s="2">
    <v>32</v>
  </rv>
  <rv s="0">
    <v>http://en.wikipedia.org/wiki/Roku,_Inc.</v>
    <v>Wikipedia</v>
  </rv>
  <rv s="3">
    <v>27</v>
    <v>34</v>
  </rv>
  <rv s="4">
    <v>9</v>
    <v>https://www.bing.com/th?id=AMMS_13240dc8e8eb91fe0ba2ee2ae9b85354&amp;qlt=95</v>
    <v>35</v>
    <v>0</v>
    <v>https://www.bing.com/images/search?form=xlimg&amp;q=roku+cnnmoney</v>
    <v>Image of ROKU, INC.</v>
  </rv>
  <rv s="0">
    <v>https://www.bing.com/financeapi/forcetrigger?t=a226p2&amp;q=XNAS%3aROKU&amp;form=skydnc</v>
    <v>Learn more on Bing</v>
  </rv>
  <rv s="5">
    <v>en-CA</v>
    <v>a226p2</v>
    <v>268435456</v>
    <v>1</v>
    <v>Powered by Refinitiv</v>
    <v>5</v>
    <v>ROKU, INC. (XNAS:ROKU)</v>
    <v>7</v>
    <v>8</v>
    <v>Finance</v>
    <v>4</v>
    <v>333.3442</v>
    <v>47.27</v>
    <v>1.6604000000000001</v>
    <v>4.72</v>
    <v>-4.2283999999999995E-2</v>
    <v>9.3244000000000007E-2</v>
    <v>-2.34</v>
    <v>USD</v>
    <v>Roku, Inc. operates a television (TV) streaming platform in the United States, Mexico, and Canada. The Company operates through two segments: Platform and Player. Its Platform segment is engaged in the sale of digital advertising and related services, including the OneView ad platform, content distribution services, such as subscription and transaction revenue shares, media and entertainment promotional spending, the sale of premium subscriptions and the sale of branded channel buttons on remote controls, and licensing arrangements with service operators and TV brands. Its Player segment is engaged in the sale of streaming players, audio products and accessories through retail distribution channels in the United States, including brick and mortar and online retailers, as well as through the Company’s Website. Its products include Roku Streambars, Roku wireless speakers, Roku TVs and Roku Wireless Subwoofers. Its products are available in approximately 20 countries.</v>
    <v>3000</v>
    <v>Nasdaq Stock Market</v>
    <v>XNAS</v>
    <v>XNAS</v>
    <v>1155 Coleman Avenue, SAN JOSE, CA, 95110 US</v>
    <v>55.45</v>
    <v>36</v>
    <v>Media &amp; Publishing</v>
    <v>Stock</v>
    <v>44859.999958842185</v>
    <v>37</v>
    <v>50.88</v>
    <v>7632990860</v>
    <v>ROKU, INC.</v>
    <v>ROKU, INC.</v>
    <v>51</v>
    <v>87.054699999999997</v>
    <v>50.62</v>
    <v>55.34</v>
    <v>53</v>
    <v>137929000</v>
    <v>ROKU</v>
    <v>ROKU, INC. (XNAS:ROKU)</v>
    <v>7748656</v>
    <v>8813152</v>
    <v>2002</v>
  </rv>
  <rv s="2">
    <v>38</v>
  </rv>
  <rv s="0">
    <v>https://www.bing.com/financeapi/forcetrigger?t=a1yscw&amp;q=XNAS%3aNTNX&amp;form=skydnc</v>
    <v>Learn more on Bing</v>
  </rv>
  <rv s="6">
    <v>en-CA</v>
    <v>a1yscw</v>
    <v>268435456</v>
    <v>1</v>
    <v>Powered by Refinitiv</v>
    <v>10</v>
    <v>NUTANIX, INC. (XNAS:NTNX)</v>
    <v>2</v>
    <v>11</v>
    <v>Finance</v>
    <v>4</v>
    <v>36.520000000000003</v>
    <v>13.44</v>
    <v>1.2072000000000001</v>
    <v>-0.08</v>
    <v>-4.4729999999999995E-3</v>
    <v>-2.9729999999999999E-3</v>
    <v>-0.12</v>
    <v>USD</v>
    <v>Nutanix, Inc. is a hybrid multicloud computing company. The Company provides an enterprise cloud platform, Nutanix Cloud Platform, that consists of software solutions and cloud services that power its customers’ enterprise infrastructure. The Nutanix Cloud Platform delivers a set of products, solutions and services to enable its customers to simply manage their private cloud and, increasingly, their public and hybrid multicloud environments. Its product portfolio includes Nutanix Cloud Infrastructure (NCI), Nutanix Cloud Management (NCM), Nutanix Unified Storage (NUS), Nutanix Database Service (NDB) and Desktop-as-a-Service. Its NCI offerings combine its core hyperconverged infrastructure (HCI) software stack (AOS) and its native, enterprise-grade hypervisor (AHV), and also add in support for virtual networking, disaster recovery, network and data security and Kubernetes container runtime. NCM offers control plane providing management and analytics across the Nutanix Cloud Platform.</v>
    <v>6450</v>
    <v>Nasdaq Stock Market</v>
    <v>XNAS</v>
    <v>XNAS</v>
    <v>1740 Technology Dr Ste 150, SAN JOSE, CA, 95110-1348 US</v>
    <v>27.59</v>
    <v>Software &amp; IT Services</v>
    <v>Stock</v>
    <v>44859.993844895311</v>
    <v>40</v>
    <v>26.78</v>
    <v>6091271243</v>
    <v>NUTANIX, INC.</v>
    <v>NUTANIX, INC.</v>
    <v>26.85</v>
    <v>26.91</v>
    <v>26.83</v>
    <v>26.71</v>
    <v>227032100</v>
    <v>NTNX</v>
    <v>NUTANIX, INC. (XNAS:NTNX)</v>
    <v>2339575</v>
    <v>2627381</v>
    <v>2009</v>
  </rv>
  <rv s="2">
    <v>41</v>
  </rv>
  <rv s="0">
    <v>https://www.bing.com/financeapi/forcetrigger?t=a1yfur&amp;q=XNYS%3aNEWR&amp;form=skydnc</v>
    <v>Learn more on Bing</v>
  </rv>
  <rv s="1">
    <v>en-CA</v>
    <v>a1yfur</v>
    <v>268435456</v>
    <v>1</v>
    <v>Powered by Refinitiv</v>
    <v>0</v>
    <v>NEW RELIC, INC. (XNYS:NEWR)</v>
    <v>2</v>
    <v>3</v>
    <v>Finance</v>
    <v>4</v>
    <v>129.69999999999999</v>
    <v>41.66</v>
    <v>0.92920000000000003</v>
    <v>2.2799999999999998</v>
    <v>-3.7012999999999997E-2</v>
    <v>3.8788999999999997E-2</v>
    <v>-2.2599999999999998</v>
    <v>USD</v>
    <v>New Relic, Inc. provides a software platform for customers to land all of their telemetry data in one place and derive actionable insights from that data in a unified front-end application. The Company's category of software products is referred to as observability. The New Relic platform provides users with a consistent view of their digital environment, allowing them to observe and operate all the components of their digital infrastructure. The New Relic platform is used by information technology (IT) operations professionals and a range of engineers, including application developers, mobile developers, site reliability engineers (SRE), network engineers and more. Its observability software is targeted at a small subset of the developer community that works in the operating phase of the developer lifecycle. Its platform has the flexibility to ingest telemetry from any source and modality (metrics, events, logs, and traces) into a unified Telemetry Data Platform.</v>
    <v>2217</v>
    <v>New York Stock Exchange</v>
    <v>XNYS</v>
    <v>XNYS</v>
    <v>188 Spear Street, Ste. 1000, SAN FRANCISCO, CA, 94105 US</v>
    <v>61.22</v>
    <v>Software &amp; IT Services</v>
    <v>Stock</v>
    <v>44859.95918998828</v>
    <v>43</v>
    <v>59.148499999999999</v>
    <v>4110247794</v>
    <v>NEW RELIC, INC.</v>
    <v>NEW RELIC, INC.</v>
    <v>59.37</v>
    <v>0</v>
    <v>58.78</v>
    <v>61.06</v>
    <v>58.8</v>
    <v>67314900</v>
    <v>NEWR</v>
    <v>NEW RELIC, INC. (XNYS:NEWR)</v>
    <v>290065</v>
    <v>428817</v>
    <v>2007</v>
  </rv>
  <rv s="2">
    <v>44</v>
  </rv>
  <rv s="0">
    <v>https://www.bing.com/financeapi/forcetrigger?t=a1vqqh&amp;q=XNAS%3aIRBT&amp;form=skydnc</v>
    <v>Learn more on Bing</v>
  </rv>
  <rv s="1">
    <v>en-CA</v>
    <v>a1vqqh</v>
    <v>268435456</v>
    <v>1</v>
    <v>Powered by Refinitiv</v>
    <v>0</v>
    <v>IROBOT CORPORATION (XNAS:IRBT)</v>
    <v>2</v>
    <v>3</v>
    <v>Finance</v>
    <v>4</v>
    <v>98.86</v>
    <v>35.409999999999997</v>
    <v>1.2504</v>
    <v>-0.3</v>
    <v>-1.797E-4</v>
    <v>-5.3610000000000003E-3</v>
    <v>-0.01</v>
    <v>USD</v>
    <v>iRobot Corporation is a consumer robot company. The Company designs, builds, sells and supports durable robots through the close integration of software, electronics and hardware. Its portfolio of home robots and smart home devices features technologies for the connected home and advanced concepts in cleaning, mapping and navigation, human-robot interaction and physical solutions. Its products include Roomba, Braava, H1 Handheld Vacuum, Aeris Air Purifiers, Root and iRobot Create 2. It offers the Braava family of automatic floor mopping robots, which is designed for hard-surface floors. It also provides ongoing customer service and support through the iRobot HOME App. The Company's consumer robots are offered to consumers through a variety of distribution channels, including chain stores and other national retailers, through the Company's own Website and application, dedicated e-commerce Websites, and through distributors and resellers worldwide.</v>
    <v>1438</v>
    <v>Nasdaq Stock Market</v>
    <v>XNAS</v>
    <v>XNAS</v>
    <v>8 Crosby Dr, BEDFORD, MA, 01730-1402 US</v>
    <v>56.17</v>
    <v>Electronic Equipment &amp; Parts</v>
    <v>Stock</v>
    <v>44859.945890138282</v>
    <v>46</v>
    <v>55.66</v>
    <v>1515816610</v>
    <v>IROBOT CORPORATION</v>
    <v>IROBOT CORPORATION</v>
    <v>56.09</v>
    <v>49.633499999999998</v>
    <v>55.96</v>
    <v>55.66</v>
    <v>55.65</v>
    <v>27233500</v>
    <v>IRBT</v>
    <v>IROBOT CORPORATION (XNAS:IRBT)</v>
    <v>200725</v>
    <v>608242</v>
    <v>2000</v>
  </rv>
  <rv s="2">
    <v>47</v>
  </rv>
  <rv s="0">
    <v>https://www.bing.com/financeapi/forcetrigger?t=a24kjc&amp;q=XNYS%3aTSM&amp;form=skydnc</v>
    <v>Learn more on Bing</v>
  </rv>
  <rv s="1">
    <v>en-CA</v>
    <v>a24kjc</v>
    <v>268435456</v>
    <v>1</v>
    <v>Powered by Refinitiv</v>
    <v>0</v>
    <v>Taiwan Semiconductor Manufacturing Co., Ltd. (XNYS:TSM)</v>
    <v>2</v>
    <v>3</v>
    <v>Finance</v>
    <v>4</v>
    <v>145</v>
    <v>59.51</v>
    <v>0.98250000000000004</v>
    <v>-0.15</v>
    <v>-1.6191999999999998E-2</v>
    <v>-2.447E-3</v>
    <v>-0.99</v>
    <v>USD</v>
    <v>Taiwan Semiconductor Manufacturing Co Ltd is a Taiwan-based company mainly engaged in the provision of integrated circuit manufacturing services. The integrated circuit manufacturing services include process technology, special process technology, design ecosystem support, mask technology, 3DFabricTM advanced packaging and silicon stacking technology services. The Company has completed the transfer and mass production of 5nm technology, and is engaged in the research and development of 3nm process technology and 2nm process technology. The product application range covers the entire electronic application industry, including personal computers and peripheral products, information application products, wired and wireless communication system products, servers and data centers.</v>
    <v>52045</v>
    <v>New York Stock Exchange</v>
    <v>XNYS</v>
    <v>XNYS</v>
    <v>No.8, Li-Hsin 6th Road, Hsinchu Science Park, HSINCHU, HSINCHU, 300 TW</v>
    <v>61.36</v>
    <v>Semiconductors &amp; Semiconductor Equipment</v>
    <v>Stock</v>
    <v>44859.99996584453</v>
    <v>49</v>
    <v>59.51</v>
    <v>312842800000</v>
    <v>Taiwan Semiconductor Manufacturing Co., Ltd.</v>
    <v>Taiwan Semiconductor Manufacturing Co., Ltd.</v>
    <v>59.96</v>
    <v>12.3895</v>
    <v>61.29</v>
    <v>61.14</v>
    <v>60.15</v>
    <v>5186076000</v>
    <v>TSM</v>
    <v>Taiwan Semiconductor Manufacturing Co., Ltd. (XNYS:TSM)</v>
    <v>21700580</v>
    <v>15322267</v>
    <v>1987</v>
  </rv>
  <rv s="2">
    <v>50</v>
  </rv>
  <rv s="0">
    <v>https://www.bing.com/financeapi/forcetrigger?t=a1slm7&amp;q=XNAS%3aMETA&amp;form=skydnc</v>
    <v>Learn more on Bing</v>
  </rv>
  <rv s="1">
    <v>en-CA</v>
    <v>a1slm7</v>
    <v>268435456</v>
    <v>1</v>
    <v>Powered by Refinitiv</v>
    <v>0</v>
    <v>Meta Platforms, Inc. (XNAS:META)</v>
    <v>2</v>
    <v>3</v>
    <v>Finance</v>
    <v>4</v>
    <v>353.83</v>
    <v>122.5301</v>
    <v>1.2827999999999999</v>
    <v>7.79</v>
    <v>-4.1161000000000003E-2</v>
    <v>6.0052000000000001E-2</v>
    <v>-5.66</v>
    <v>USD</v>
    <v>Meta Platforms Inc., formerly Facebook, Inc., builds technologies that help people find communities and grow businesses. The Company's products enable people to connect and share with friends and family through mobile devices, personal computers, virtual reality (VR) headsets, wearables, and in-home devices. The Company operates through two segments: Family of Apps (FoA) and Reality Labs (RL). FoA includes Facebook, Instagram, Messenger, WhatsApp, and other services. RL includes augmented and virtual reality-related consumer hardware, software, and content. Facebook enables people to connect, share, discover and communicate with each other on mobile devices and personal computers. Instagram is a place where people can express themselves through photos, videos, and private messaging, and connect with and shop from their favorite businesses and creators. Messenger is a messaging application for people to connect with friends, family, groups, and businesses across platforms and devices.</v>
    <v>83553</v>
    <v>Nasdaq Stock Market</v>
    <v>XNAS</v>
    <v>XNAS</v>
    <v>1601 Willow Rd, MENLO PARK, CA, 94025 US</v>
    <v>138.35</v>
    <v>Software &amp; IT Services</v>
    <v>Stock</v>
    <v>44859.999971214842</v>
    <v>52</v>
    <v>130.59</v>
    <v>369564862990</v>
    <v>Meta Platforms, Inc.</v>
    <v>Meta Platforms, Inc.</v>
    <v>130.875</v>
    <v>10.7538</v>
    <v>129.72</v>
    <v>137.51</v>
    <v>131.85</v>
    <v>2687549000</v>
    <v>META</v>
    <v>Meta Platforms, Inc. (XNAS:META)</v>
    <v>38433219</v>
    <v>33226012</v>
    <v>2004</v>
  </rv>
  <rv s="2">
    <v>53</v>
  </rv>
  <rv s="0">
    <v>https://www.bing.com/financeapi/forcetrigger?t=a1nihw&amp;q=XNYS%3aANET&amp;form=skydnc</v>
    <v>Learn more on Bing</v>
  </rv>
  <rv s="1">
    <v>en-CA</v>
    <v>a1nihw</v>
    <v>268435456</v>
    <v>1</v>
    <v>Powered by Refinitiv</v>
    <v>0</v>
    <v>ARISTA NETWORKS, INC. (XNYS:ANET)</v>
    <v>2</v>
    <v>3</v>
    <v>Finance</v>
    <v>4</v>
    <v>148.57</v>
    <v>89.114999999999995</v>
    <v>1.2604</v>
    <v>1.89</v>
    <v>-3.2229000000000001E-2</v>
    <v>1.7067000000000002E-2</v>
    <v>-3.63</v>
    <v>USD</v>
    <v>Arista Networks, Inc. is a supplier of cloud networking solutions that use software to address the needs of Internet companies, cloud service providers and enterprises. The Company cloud networking solutions consist of its Extensible Operating System (EOS), a set of network applications and its Gigabit Ethernet switching and routing platforms. Its cognitive single-tier Spline campus network extends EOS across the data center and campus wired and wireless workspace. The Company’s CloudVision is a network-wide approach for workload orchestration and automation, leverages EOS and Cognitive WiFi features, to deliver cloud networking solutions to its enterprise customers. The Company sells its products through both its direct sales force and its channel partners. The Company’s end customers span a range of industries and include large Internet companies, service providers, financial services organizations, government agencies, media and entertainment companies and others.</v>
    <v>2993</v>
    <v>New York Stock Exchange</v>
    <v>XNYS</v>
    <v>XNYS</v>
    <v>5453 Great America Pkwy, SANTA CLARA, CA, 95054 US</v>
    <v>113.1</v>
    <v>Communications &amp; Networking</v>
    <v>Stock</v>
    <v>44859.990171585159</v>
    <v>55</v>
    <v>106.5</v>
    <v>34271112715</v>
    <v>ARISTA NETWORKS, INC.</v>
    <v>ARISTA NETWORKS, INC.</v>
    <v>107</v>
    <v>34.115699999999997</v>
    <v>110.74</v>
    <v>112.63</v>
    <v>109</v>
    <v>304280500</v>
    <v>ANET</v>
    <v>ARISTA NETWORKS, INC. (XNYS:ANET)</v>
    <v>3199105</v>
    <v>1943547</v>
    <v>2011</v>
  </rv>
  <rv s="2">
    <v>56</v>
  </rv>
  <rv s="0">
    <v>https://www.bing.com/financeapi/forcetrigger?t=a1nda2&amp;q=XNAS%3aAMAT&amp;form=skydnc</v>
    <v>Learn more on Bing</v>
  </rv>
  <rv s="1">
    <v>en-CA</v>
    <v>a1nda2</v>
    <v>268435456</v>
    <v>1</v>
    <v>Powered by Refinitiv</v>
    <v>0</v>
    <v>APPLIED MATERIALS, INC. (XNAS:AMAT)</v>
    <v>2</v>
    <v>3</v>
    <v>Finance</v>
    <v>4</v>
    <v>167.06</v>
    <v>71.12</v>
    <v>1.4948999999999999</v>
    <v>2.59</v>
    <v>-2.0678999999999999E-2</v>
    <v>3.0491999999999998E-2</v>
    <v>-1.81</v>
    <v>USD</v>
    <v>Applied Materials, Inc. provides manufacturing equipment, services and software to the semiconductor, display, and related industries. The Company operates through three segments: Semiconductor Systems, Applied Global Services, and Display and Adjacent Markets. Its Semiconductor Systems segment primarily consists of capital equipment used to fabricate semiconductor chips. Its Applied Global Services segment provides integrated solutions to optimize equipment and fab performance and productivity, including spares, upgrades, services, certain remanufactured old equipment and factory automation software for semiconductor, display and solar products. Its Display and Adjacent Markets segment includes products for manufacturing liquid crystal and organic light-emitting diode (OLED) displays, and other display technologies for televisions, monitors, laptops, personal computers, electronic tablets, smart phones, and other consumer-oriented devices and equipment upgrades.</v>
    <v>27000</v>
    <v>Nasdaq Stock Market</v>
    <v>XNAS</v>
    <v>XNAS</v>
    <v>3050 Bowers Ave, SANTA CLARA, CA, 95054-3299 US</v>
    <v>88.5</v>
    <v>Semiconductors &amp; Semiconductor Equipment</v>
    <v>Stock</v>
    <v>44859.999736388279</v>
    <v>58</v>
    <v>85.75</v>
    <v>75302881782</v>
    <v>APPLIED MATERIALS, INC.</v>
    <v>APPLIED MATERIALS, INC.</v>
    <v>85.94</v>
    <v>11.366400000000001</v>
    <v>84.94</v>
    <v>87.53</v>
    <v>85.72</v>
    <v>860309400</v>
    <v>AMAT</v>
    <v>APPLIED MATERIALS, INC. (XNAS:AMAT)</v>
    <v>10349364</v>
    <v>9556401</v>
    <v>1987</v>
  </rv>
  <rv s="2">
    <v>59</v>
  </rv>
  <rv s="0">
    <v>https://www.bing.com/financeapi/forcetrigger?t=a1zgm7&amp;q=XNAS%3aPANW&amp;form=skydnc</v>
    <v>Learn more on Bing</v>
  </rv>
  <rv s="1">
    <v>en-CA</v>
    <v>a1zgm7</v>
    <v>268435456</v>
    <v>1</v>
    <v>Powered by Refinitiv</v>
    <v>0</v>
    <v>PALO ALTO NETWORKS, INC. (XNAS:PANW)</v>
    <v>2</v>
    <v>3</v>
    <v>Finance</v>
    <v>4</v>
    <v>213.63310000000001</v>
    <v>140.51589999999999</v>
    <v>1.1146</v>
    <v>4.8499999999999996</v>
    <v>-1.3298000000000001E-2</v>
    <v>3.0061000000000001E-2</v>
    <v>-2.21</v>
    <v>USD</v>
    <v>Palo Alto Networks, Inc. is a global cybersecurity provider. The Company enables enterprises, service providers, and government entities to secure all users, applications, data, networks, clouds and devices with visibility and context, continuously across all locations. It delivers cybersecurity products covering a range of use cases, enabling its end-customers to secure their networks, remote and hybrid workforces, branch locations, and public and private clouds, and to advance their security operations centers (SOC). Its products are available in the form of the product, subscription, and support offerings, such as Firewall Appliances and Software, Panorama, Virtual System Upgrades, URL Filtering, Advanced URL Filtering, DNS Security, and IoT Security, among others. Its solutions are focused on five areas, which includes Network Security, Secure Access Service Edge, Cloud Security, Security Analytics and Automation, and Threat Intelligence and Security Consulting (Unit 42).</v>
    <v>12561</v>
    <v>Nasdaq Stock Market</v>
    <v>XNAS</v>
    <v>XNAS</v>
    <v>3000 Tannery Way, SANTA CLARA, CA, 95054 US</v>
    <v>167.08</v>
    <v>Software &amp; IT Services</v>
    <v>Stock</v>
    <v>44859.999997626561</v>
    <v>61</v>
    <v>162.05000000000001</v>
    <v>49726341422</v>
    <v>PALO ALTO NETWORKS, INC.</v>
    <v>PALO ALTO NETWORKS, INC.</v>
    <v>162.86000000000001</v>
    <v>0</v>
    <v>161.34</v>
    <v>166.19</v>
    <v>163.98</v>
    <v>299213800</v>
    <v>PANW</v>
    <v>PALO ALTO NETWORKS, INC. (XNAS:PANW)</v>
    <v>4242225</v>
    <v>3503020</v>
    <v>2005</v>
  </rv>
  <rv s="2">
    <v>62</v>
  </rv>
  <rv s="0">
    <v>https://www.bing.com/financeapi/forcetrigger?t=a1u3p2&amp;q=XNAS%3aGOOG&amp;form=skydnc</v>
    <v>Learn more on Bing</v>
  </rv>
  <rv s="1">
    <v>en-CA</v>
    <v>a1u3p2</v>
    <v>268435456</v>
    <v>1</v>
    <v>Powered by Refinitiv</v>
    <v>0</v>
    <v>ALPHABET INC. (XNAS:GOOG)</v>
    <v>2</v>
    <v>3</v>
    <v>Finance</v>
    <v>4</v>
    <v>152.1</v>
    <v>95.27</v>
    <v>1.1001000000000001</v>
    <v>1.96</v>
    <v>-6.6520999999999997E-2</v>
    <v>1.9035E-2</v>
    <v>-6.98</v>
    <v>USD</v>
    <v>Alphabet Inc. is a holding company. The Company's segments include Google Services, Google Cloud, and Other Bets. The Google Services segment includes products and services such as ads, Android, Chrome, hardware, Google Maps, Google Play, Search, and YouTube. The Google Cloud segment includes Google's infrastructure and platform services, collaboration tools, and other services for enterprise customers. The Other Bets segment includes earlier stage technologies that are further afield from its core Google business, and it includes the sale of health technology and Internet services. Its Google Cloud provides enterprise-ready cloud services, including Google Cloud Platform and Google Workspace. Google Cloud Platform enables developers to build, test, and deploy applications on its infrastructure. The Company's Google Workspace collaboration tools include applications, such as Gmail, Docs, Drive, Calendar, Meet, and various others. The Company also has various hardware products.</v>
    <v>174014</v>
    <v>Nasdaq Stock Market</v>
    <v>XNAS</v>
    <v>XNAS</v>
    <v>1600 Amphitheatre Pkwy, MOUNTAIN VIEW, CA, 94043-1351 US</v>
    <v>105.09990000000001</v>
    <v>Software &amp; IT Services</v>
    <v>Stock</v>
    <v>44859.999973089842</v>
    <v>64</v>
    <v>103.02</v>
    <v>1340044000000</v>
    <v>ALPHABET INC.</v>
    <v>ALPHABET INC.</v>
    <v>103.3</v>
    <v>19.153500000000001</v>
    <v>102.97</v>
    <v>104.93</v>
    <v>97.95</v>
    <v>13044000000</v>
    <v>GOOG</v>
    <v>ALPHABET INC. (XNAS:GOOG)</v>
    <v>29910170</v>
    <v>23221142</v>
    <v>2015</v>
  </rv>
  <rv s="2">
    <v>65</v>
  </rv>
  <rv s="0">
    <v>https://www.bing.com/financeapi/forcetrigger?t=a1nhlh&amp;q=XNAS%3aAMZN&amp;form=skydnc</v>
    <v>Learn more on Bing</v>
  </rv>
  <rv s="1">
    <v>en-CA</v>
    <v>a1nhlh</v>
    <v>268435456</v>
    <v>1</v>
    <v>Powered by Refinitiv</v>
    <v>0</v>
    <v>AMAZON.COM, INC. (XNAS:AMZN)</v>
    <v>2</v>
    <v>3</v>
    <v>Finance</v>
    <v>4</v>
    <v>188.10730000000001</v>
    <v>101.26</v>
    <v>1.3140000000000001</v>
    <v>0.78</v>
    <v>-4.3367000000000003E-2</v>
    <v>6.5100000000000002E-3</v>
    <v>-5.23</v>
    <v>USD</v>
    <v>Amazon.com, Inc. provides a range of products and services to customers. The products offered through its stores include merchandise and content that it purchased for resale and products offered by third-party sellers. It also manufactures and sells electronic devices, including Kindle, Fire tablet, Fire TV, Echo, and Ring, and it develops and produces media content. It operates through three segments: North America, International and Amazon Web Services (AWS). The AWS segment consists of global sales of compute, storage, database, and other services for start-ups, enterprises, government agencies, and academic institutions. It provides advertising services to sellers, vendors, publishers, authors, and others, through programs, such as sponsored advertisements, display, and video advertising. It serves consumers through its online and physical stores. Customers access its offerings through websites, mobile applications, Alexa, devices, streaming, and physically visiting its stores.</v>
    <v>1608000</v>
    <v>Nasdaq Stock Market</v>
    <v>XNAS</v>
    <v>XNAS</v>
    <v>410 Terry Ave N, SEATTLE, WA, 98109 US</v>
    <v>121.3152</v>
    <v>Diversified Retail</v>
    <v>Stock</v>
    <v>44859.999997117971</v>
    <v>67</v>
    <v>118.95</v>
    <v>1220673000000</v>
    <v>AMAZON.COM, INC.</v>
    <v>AMAZON.COM, INC.</v>
    <v>119.65</v>
    <v>107.7495</v>
    <v>119.82</v>
    <v>120.6</v>
    <v>115.37</v>
    <v>10187550000</v>
    <v>AMZN</v>
    <v>AMAZON.COM, INC. (XNAS:AMZN)</v>
    <v>50934609</v>
    <v>56446742</v>
    <v>1996</v>
  </rv>
  <rv s="2">
    <v>68</v>
  </rv>
  <rv s="0">
    <v>https://www.bing.com/financeapi/forcetrigger?t=a1ohm7&amp;q=XNAS%3aBIDU&amp;form=skydnc</v>
    <v>Learn more on Bing</v>
  </rv>
  <rv s="1">
    <v>en-CA</v>
    <v>a1ohm7</v>
    <v>268435456</v>
    <v>1</v>
    <v>Powered by Refinitiv</v>
    <v>0</v>
    <v>Baidu, Inc. (XNAS:BIDU)</v>
    <v>2</v>
    <v>3</v>
    <v>Finance</v>
    <v>4</v>
    <v>176.57</v>
    <v>73.580100000000002</v>
    <v>0.62360000000000004</v>
    <v>1.46</v>
    <v>-2.4629999999999999E-3</v>
    <v>1.8307E-2</v>
    <v>-0.2</v>
    <v>USD</v>
    <v>Baidu Inc is a Chinese language Internet search provider. The Company offers a Chinese language search platform on its Baidu.com Website that enables users to find information online, including Webpages, news, images, documents and multimedia files, through links provided on its Website. The Company operates through two segments, Baidu Core segment and iQIYI segment. Baidu Core mainly provides search-based, feed-based, and other online marketing services, as well as products and services from the Company’s new artificial intelligence (AI) initiatives. Within Baidu Core, the Company’s product and services offerings are categorized as Mobile Ecosystem, Baidu AI Cloud and Intelligent Driving &amp; Other Growth Initiatives. iQIYI is an online entertainment service provider that offers original, professionally produced and partner-generated content on its platform.</v>
    <v>45500</v>
    <v>Nasdaq Stock Market</v>
    <v>XNAS</v>
    <v>XNAS</v>
    <v>Haidian District, Baidu Campus, No. 10 Shangdi 10Th Street, BEIJING, BEIJING, 100085 CN</v>
    <v>83.87</v>
    <v>Software &amp; IT Services</v>
    <v>Stock</v>
    <v>44859.999697140622</v>
    <v>70</v>
    <v>80.420100000000005</v>
    <v>28062156104</v>
    <v>Baidu, Inc.</v>
    <v>Baidu, Inc.</v>
    <v>82.46</v>
    <v>26.747699999999998</v>
    <v>79.75</v>
    <v>81.209999999999994</v>
    <v>81.010000000000005</v>
    <v>345550500</v>
    <v>BIDU</v>
    <v>Baidu, Inc. (XNAS:BIDU)</v>
    <v>5837677</v>
    <v>3187038</v>
    <v>2000</v>
  </rv>
  <rv s="2">
    <v>71</v>
  </rv>
  <rv s="0">
    <v>https://www.bing.com/financeapi/forcetrigger?t=a23eec&amp;q=XNAS%3aSPLK&amp;form=skydnc</v>
    <v>Learn more on Bing</v>
  </rv>
  <rv s="6">
    <v>en-CA</v>
    <v>a23eec</v>
    <v>268435456</v>
    <v>1</v>
    <v>Powered by Refinitiv</v>
    <v>10</v>
    <v>SPLUNK INC. (XNAS:SPLK)</v>
    <v>2</v>
    <v>11</v>
    <v>Finance</v>
    <v>4</v>
    <v>176.66</v>
    <v>65</v>
    <v>1.4198999999999999</v>
    <v>3.87</v>
    <v>-2.3893000000000001E-2</v>
    <v>4.8986999999999996E-2</v>
    <v>-1.98</v>
    <v>USD</v>
    <v>Splunk Inc. provides solutions that use data from digital systems to help organizations identify opportunities for optimization to keep their systems secure. The Company's portfolio consists of three categories of offerings: Splunk Platform, Splunk Solutions and Customer and Partner Solutions. The Splunk portfolio of offerings is delivered as a mix of cloud services offerings and on-premise licensed software offerings that customers and partners deploy in their own environments. The Splunk platform is a real-time data platform comprising collection, streaming, indexing, search, reporting, analysis, machine learning, alerting, monitoring and data management capabilities. Its Splunk Solutions include Splunk security solutions and Splunk observability solutions. Its Customer and Partner solutions include pre-built data inputs, workflows, searches, reports, alerts, custom dashboards, flexible user interface (UI) components, custom data visualizations, and integration actions and methods.</v>
    <v>7000</v>
    <v>Nasdaq Stock Market</v>
    <v>XNAS</v>
    <v>XNAS</v>
    <v>270 Brannan Street, SAN FRANCISCO, CA, 94107 US</v>
    <v>82.88</v>
    <v>Software &amp; IT Services</v>
    <v>Stock</v>
    <v>44859.981831168749</v>
    <v>73</v>
    <v>79.8</v>
    <v>13483686543</v>
    <v>SPLUNK INC.</v>
    <v>SPLUNK INC.</v>
    <v>79.8</v>
    <v>79</v>
    <v>82.87</v>
    <v>80.89</v>
    <v>162708900</v>
    <v>SPLK</v>
    <v>SPLUNK INC. (XNAS:SPLK)</v>
    <v>1849360</v>
    <v>2818433</v>
    <v>2006</v>
  </rv>
  <rv s="2">
    <v>74</v>
  </rv>
  <rv s="0">
    <v>https://www.bing.com/financeapi/forcetrigger?t=a1yv52&amp;q=XNAS%3aNVDA&amp;form=skydnc</v>
    <v>Learn more on Bing</v>
  </rv>
  <rv s="1">
    <v>en-CA</v>
    <v>a1yv52</v>
    <v>268435456</v>
    <v>1</v>
    <v>Powered by Refinitiv</v>
    <v>0</v>
    <v>NVIDIA CORPORATION (XNAS:NVDA)</v>
    <v>2</v>
    <v>3</v>
    <v>Finance</v>
    <v>4</v>
    <v>346.47</v>
    <v>108.13</v>
    <v>1.6889000000000001</v>
    <v>6.62</v>
    <v>-3.0993E-2</v>
    <v>5.2544000000000007E-2</v>
    <v>-4.1100000000000003</v>
    <v>USD</v>
    <v>NVIDIA Corporation is a personal computer (PC) gaming market. The Company’s segments include Graphics and Compute &amp; Networking. The Graphics segment includes GeForce graphics processing units (GPUs) for gaming and PCs, the GeForce NOW game streaming service and related infrastructure, and solutions for gaming platforms; Quadro/NVIDIA RTX GPUs for enterprise workstation graphics; virtual GPU software for cloud-based visual and virtual computing; automotive platforms for infotainment systems, and Omniverse software for building three-dimensional (3D) designs and virtual worlds. The Compute &amp; Networking segment includes Data Center platforms and systems for artificial intelligence (AI), high-performance computing (HPC), and accelerated computing; Mellanox networking and interconnect solutions; automotive AI Cockpit, autonomous driving development agreements, and autonomous vehicle solutions; cryptocurrency mining processors (CMP); Jetson for robotics, and NVIDIA AI Enterprise.</v>
    <v>22473</v>
    <v>Nasdaq Stock Market</v>
    <v>XNAS</v>
    <v>XNAS</v>
    <v>2788 San Tomas Expressway, SANTA CLARA, CA, 95051 US</v>
    <v>133</v>
    <v>Semiconductors &amp; Semiconductor Equipment</v>
    <v>Stock</v>
    <v>44859.999971214842</v>
    <v>76</v>
    <v>126.64</v>
    <v>330198900000</v>
    <v>NVIDIA CORPORATION</v>
    <v>NVIDIA CORPORATION</v>
    <v>126.935</v>
    <v>41.311599999999999</v>
    <v>125.99</v>
    <v>132.61000000000001</v>
    <v>128.5</v>
    <v>2490000000</v>
    <v>NVDA</v>
    <v>NVIDIA CORPORATION (XNAS:NVDA)</v>
    <v>50548233</v>
    <v>61669316</v>
    <v>1998</v>
  </rv>
  <rv s="2">
    <v>77</v>
  </rv>
  <rv s="0">
    <v>https://www.bing.com/financeapi/forcetrigger?t=a26ghw&amp;q=XNAS%3aZG&amp;form=skydnc</v>
    <v>Learn more on Bing</v>
  </rv>
  <rv s="1">
    <v>en-CA</v>
    <v>a26ghw</v>
    <v>268435456</v>
    <v>1</v>
    <v>Powered by Refinitiv</v>
    <v>0</v>
    <v>ZILLOW GROUP, INC. (XNAS:ZG)</v>
    <v>2</v>
    <v>3</v>
    <v>Finance</v>
    <v>4</v>
    <v>105.85</v>
    <v>26.2135</v>
    <v>1.4883999999999999</v>
    <v>2.1</v>
    <v>-2.9401999999999998E-2</v>
    <v>7.1942000000000006E-2</v>
    <v>-0.92</v>
    <v>USD</v>
    <v>Zillow Group, Inc. owns and operates a portfolio of real estate brands on mobile applications and Websites. The Company’s segments include Homes, Internet, Media &amp; Technology (IMT), and Mortgages. The Homes segment provides financial results of purchase and sale of homes through Zillow Offers and the financial results from title and escrow services through Zillow Closing Services. The IMT segment includes the financial results for the premier agent, rentals and new construction marketplaces, dotloop, display, and other advertising and business software solutions. The Mortgages segment includes financial results for mortgage originations through Zillow Home Loans, advertising sold to mortgage lenders and other mortgage professionals, as well as Mortech mortgage software solutions. Its affiliates and subsidiaries include Zillow, Zillow Offers, Zillow Premier Agent, Zillow Home Loans, Zillow Homes, Inc., Trulia, Out East, ShowingTime, Bridge Interactive, dotloop, StreetEasy and HotPads.</v>
    <v>5791</v>
    <v>Nasdaq Stock Market</v>
    <v>XNAS</v>
    <v>XNAS</v>
    <v>1301 2nd Ave Fl 31, SEATTLE, WA, 98101-0003 US</v>
    <v>31.44</v>
    <v>Real Estate Operations</v>
    <v>Stock</v>
    <v>44859.986094467189</v>
    <v>79</v>
    <v>29.35</v>
    <v>7143575000</v>
    <v>ZILLOW GROUP, INC.</v>
    <v>ZILLOW GROUP, INC.</v>
    <v>29.35</v>
    <v>143.54320000000001</v>
    <v>29.19</v>
    <v>31.29</v>
    <v>30.37</v>
    <v>245158400</v>
    <v>ZG</v>
    <v>ZILLOW GROUP, INC. (XNAS:ZG)</v>
    <v>501546</v>
    <v>574120</v>
    <v>2014</v>
  </rv>
  <rv s="2">
    <v>80</v>
  </rv>
  <rv s="0">
    <v>https://www.bing.com/financeapi/forcetrigger?t=a24lfr&amp;q=XNAS%3aTTD&amp;form=skydnc</v>
    <v>Learn more on Bing</v>
  </rv>
  <rv s="1">
    <v>en-CA</v>
    <v>a24lfr</v>
    <v>268435456</v>
    <v>1</v>
    <v>Powered by Refinitiv</v>
    <v>0</v>
    <v>THE TRADE DESK, INC. (XNAS:TTD)</v>
    <v>2</v>
    <v>3</v>
    <v>Finance</v>
    <v>4</v>
    <v>114.09</v>
    <v>39</v>
    <v>1.7988999999999999</v>
    <v>2.17</v>
    <v>-4.8927999999999999E-2</v>
    <v>3.8980000000000001E-2</v>
    <v>-2.83</v>
    <v>USD</v>
    <v>The Trade Desk, Inc. is a technology company. The Company through its self-service, cloud-based platform, and ad buyers can create, manage, and optimize data-driven digital advertising campaigns across ad formats and channels, including display, video, audio, in-app, native and social, on a multitude of devices, such as computers, mobile devices, and connected television (CTV). It offers a self-service omnichannel software platform that enables its clients to purchase and manage data driven digital advertising campaigns. The Company's platform allows clients to manage integrated advertising campaigns across various advertising channels and formats. Its platform’s integrations with inventory, data partners, and publisher provides ad buyers reach and decisioning capabilities, and its enterprise application programming interfaces (APIs) enable its clients to develop on top of the platform. It offers solutions to advertising agencies and other service providers for advertisers.</v>
    <v>1967</v>
    <v>Nasdaq Stock Market</v>
    <v>XNAS</v>
    <v>XNAS</v>
    <v>42 N Chestnut St, VENTURA, CA, 93001-2662 US</v>
    <v>58.53</v>
    <v>Software &amp; IT Services</v>
    <v>Stock</v>
    <v>44859.999580867967</v>
    <v>82</v>
    <v>56.43</v>
    <v>28240703904</v>
    <v>THE TRADE DESK, INC.</v>
    <v>THE TRADE DESK, INC.</v>
    <v>56.43</v>
    <v>845.0213</v>
    <v>55.67</v>
    <v>57.84</v>
    <v>55.01</v>
    <v>488255600</v>
    <v>TTD</v>
    <v>THE TRADE DESK, INC. (XNAS:TTD)</v>
    <v>4325085</v>
    <v>5569184</v>
    <v>2009</v>
  </rv>
  <rv s="2">
    <v>83</v>
  </rv>
  <rv s="0">
    <v>https://www.bing.com/financeapi/forcetrigger?t=a1pkf2&amp;q=XNAS%3aCGNX&amp;form=skydnc</v>
    <v>Learn more on Bing</v>
  </rv>
  <rv s="1">
    <v>en-CA</v>
    <v>a1pkf2</v>
    <v>268435456</v>
    <v>1</v>
    <v>Powered by Refinitiv</v>
    <v>0</v>
    <v>COGNEX CORPORATION (XNAS:CGNX)</v>
    <v>2</v>
    <v>3</v>
    <v>Finance</v>
    <v>4</v>
    <v>92.17</v>
    <v>40.204999999999998</v>
    <v>1.5921000000000001</v>
    <v>2.38</v>
    <v>-2.0874E-2</v>
    <v>5.4574999999999999E-2</v>
    <v>-0.96</v>
    <v>USD</v>
    <v>Cognex Corporation is a provider of machine vision products that capture and analyze visual information to automate manufacturing and distribution tasks where vision is required. The Company offers a range of machine vision systems and sensors, vision software, and industrial image-based barcode readers designed to meet customer needs. Its products range from vision sensors that conducts simple presence/absence inspections, to deep learning solutions that solve complex applications with defects and deviations. Its In-Sight vision systems and sensors, which includes two dimensional (2D), three dimensional (3D) and deep learning models, which performs a range of inspection tasks, including part location, identification, measurement, assembly verification, and robotic guidance. Its Cognex VisionPro software offers a range of patented vision tools, including both traditional rule-based tools and deep learning-enabled tools for advanced programming.</v>
    <v>2257</v>
    <v>Nasdaq Stock Market</v>
    <v>XNAS</v>
    <v>XNAS</v>
    <v>One Vision Drive, NATICK, MA, 01760 US</v>
    <v>45.99</v>
    <v>Machinery, Equipment &amp; Components</v>
    <v>Stock</v>
    <v>44859.94837731406</v>
    <v>85</v>
    <v>43.07</v>
    <v>7974528030</v>
    <v>COGNEX CORPORATION</v>
    <v>COGNEX CORPORATION</v>
    <v>43.61</v>
    <v>29.9985</v>
    <v>43.61</v>
    <v>45.99</v>
    <v>45.03</v>
    <v>173397000</v>
    <v>CGNX</v>
    <v>COGNEX CORPORATION (XNAS:CGNX)</v>
    <v>768804</v>
    <v>886423</v>
    <v>1981</v>
  </rv>
  <rv s="2">
    <v>86</v>
  </rv>
  <rv s="0">
    <v>https://www.bing.com/financeapi/forcetrigger?t=a1orc7&amp;q=XNYS%3aBOX&amp;form=skydnc</v>
    <v>Learn more on Bing</v>
  </rv>
  <rv s="1">
    <v>en-CA</v>
    <v>a1orc7</v>
    <v>268435456</v>
    <v>1</v>
    <v>Powered by Refinitiv</v>
    <v>0</v>
    <v>BOX, INC. (XNYS:BOX)</v>
    <v>2</v>
    <v>3</v>
    <v>Finance</v>
    <v>4</v>
    <v>33.04</v>
    <v>22.31</v>
    <v>1.1412</v>
    <v>0.55000000000000004</v>
    <v>-7.3150000000000003E-3</v>
    <v>1.9531E-2</v>
    <v>-0.21</v>
    <v>USD</v>
    <v>Box, Inc. provides a cloud content management platform that enables organizations of all sizes to securely manage cloud content while allowing easy, secure access and sharing of this content from anywhere, on any device. With the Company’s software-as-a-service platform, users can collaborate on content both internally and with external parties, automate content-driven business processes, develop custom applications, and implement data protection, security, and compliance features to comply with legal and regulatory requirements, internal policies and industry standards and regulations. Its platform integrates with enterprise business applications, and is compatible with multiple application environments, operating systems and devices, ensuring that workers can securely access their business content. Its box solution offers Web, mobile and desktop applications for cloud content management on a platform for developing custom applications, as well as industry-specific solutions.</v>
    <v>2172</v>
    <v>New York Stock Exchange</v>
    <v>XNYS</v>
    <v>XNYS</v>
    <v>900 Jefferson Ave, REDWOOD CITY, CA, 94063 US</v>
    <v>28.8688</v>
    <v>Software &amp; IT Services</v>
    <v>Stock</v>
    <v>44859.960887198438</v>
    <v>88</v>
    <v>28.24</v>
    <v>4086018684</v>
    <v>BOX, INC.</v>
    <v>BOX, INC.</v>
    <v>28.31</v>
    <v>0</v>
    <v>28.16</v>
    <v>28.71</v>
    <v>28.5</v>
    <v>142320400</v>
    <v>BOX</v>
    <v>BOX, INC. (XNYS:BOX)</v>
    <v>653004</v>
    <v>1061554</v>
    <v>2008</v>
  </rv>
  <rv s="2">
    <v>89</v>
  </rv>
  <rv s="0">
    <v>https://www.bing.com/financeapi/forcetrigger?t=a23hqh&amp;q=ARCX%3aSPY&amp;form=skydnc</v>
    <v>Learn more on Bing</v>
  </rv>
  <rv s="7">
    <v>en-CA</v>
    <v>a23hqh</v>
    <v>268435456</v>
    <v>1</v>
    <v>Powered by Refinitiv</v>
    <v>12</v>
    <v>SPDR S&amp;P 500 ETF (ARCX:SPY)</v>
    <v>13</v>
    <v>14</v>
    <v>Finance</v>
    <v>15</v>
    <v>479.98</v>
    <v>348.11</v>
    <v>0.99729999999999996</v>
    <v>6.05</v>
    <v>-9.7940000000000006E-3</v>
    <v>1.5969000000000001E-2</v>
    <v>-3.77</v>
    <v>USD</v>
    <v>NYSE Arca</v>
    <v>ARCX</v>
    <v>8.9999999999999998E-4</v>
    <v>385.25</v>
    <v>ETF</v>
    <v>44860.000000034372</v>
    <v>91</v>
    <v>378.67099999999999</v>
    <v>326284796732.78998</v>
    <v>SPDR S&amp;P 500 ETF</v>
    <v>378.79</v>
    <v>378.87</v>
    <v>384.92</v>
    <v>381.15</v>
    <v>SPY</v>
    <v>SPDR S&amp;P 500 ETF (ARCX:SPY)</v>
    <v>78846348</v>
    <v>101483011</v>
  </rv>
  <rv s="2">
    <v>92</v>
  </rv>
  <rv s="0">
    <v>https://www.bing.com/financeapi/forcetrigger?t=ab1y3m&amp;q=XTSE%3aXIU&amp;form=skydnc</v>
    <v>Learn more on Bing</v>
  </rv>
  <rv s="8">
    <v>en-CA</v>
    <v>ab1y3m</v>
    <v>268435456</v>
    <v>1</v>
    <v>Powered by Refinitiv</v>
    <v>16</v>
    <v>iShares S&amp;P/TSX 60 Index ETF (XTSE:XIU)</v>
    <v>13</v>
    <v>17</v>
    <v>Finance</v>
    <v>18</v>
    <v>34</v>
    <v>27.364999999999998</v>
    <v>0.92210000000000003</v>
    <v>0.26</v>
    <v>8.9529999999999992E-3</v>
    <v>CAD</v>
    <v>Toronto Stock Exchange</v>
    <v>XTSE</v>
    <v>1.8E-3</v>
    <v>29.32</v>
    <v>ETF</v>
    <v>44859.833321759259</v>
    <v>94</v>
    <v>28.94</v>
    <v>9693271407.4899998</v>
    <v>iShares S&amp;P/TSX 60 Index ETF</v>
    <v>28.97</v>
    <v>29.04</v>
    <v>29.3</v>
    <v>XIU</v>
    <v>iShares S&amp;P/TSX 60 Index ETF (XTSE:XIU)</v>
    <v>1707976</v>
  </rv>
  <rv s="2">
    <v>95</v>
  </rv>
  <rv s="0">
    <v>https://www.bing.com/financeapi/forcetrigger?t=a1x8w7&amp;q=XNYS%3aMA&amp;form=skydnc</v>
    <v>Learn more on Bing</v>
  </rv>
  <rv s="1">
    <v>en-CA</v>
    <v>a1x8w7</v>
    <v>268435456</v>
    <v>1</v>
    <v>Powered by Refinitiv</v>
    <v>0</v>
    <v>MASTERCARD INCORPORATED. (XNYS:MA)</v>
    <v>2</v>
    <v>3</v>
    <v>Finance</v>
    <v>4</v>
    <v>399.92</v>
    <v>276.87</v>
    <v>1.0764</v>
    <v>5.81</v>
    <v>-7.7390000000000002E-3</v>
    <v>1.9012000000000001E-2</v>
    <v>-2.41</v>
    <v>USD</v>
    <v>Mastercard Incorporated is a technology company that connects consumers, financial institutions, merchants, governments and businesses across the world, enabling them to use electronic forms of payment. The Company allows user to make payments by creating a range of payment solutions and services using its brands, which include MasterCard, Maestro and Cirrus. It provides a range of products and solutions that support payment products, which customers can offer to their cardholders. The Company's services facilitate transactions on its core network among account holders, merchants, financial institutions, businesses, governments and other organizations in markets globally. Its products include consumer credit, consumer debit, prepaid and commercial credit and debit. It also provides integrated offerings such as cyber and intelligence products, information and analytics services, identity verification services, consulting, loyalty and reward programs, processing and open banking.</v>
    <v>24000</v>
    <v>New York Stock Exchange</v>
    <v>XNYS</v>
    <v>XNYS</v>
    <v>2000 Purchase St, PURCHASE, NY, 10577-2405 US</v>
    <v>312.10000000000002</v>
    <v>Software &amp; IT Services</v>
    <v>Stock</v>
    <v>44859.999636446097</v>
    <v>97</v>
    <v>305.86</v>
    <v>300939181301</v>
    <v>MASTERCARD INCORPORATED.</v>
    <v>MASTERCARD INCORPORATED.</v>
    <v>305.91000000000003</v>
    <v>30.972300000000001</v>
    <v>305.60000000000002</v>
    <v>311.41000000000003</v>
    <v>309</v>
    <v>966376100</v>
    <v>MA</v>
    <v>MASTERCARD INCORPORATED. (XNYS:MA)</v>
    <v>3012354</v>
    <v>3239935</v>
    <v>2001</v>
  </rv>
  <rv s="2">
    <v>98</v>
  </rv>
  <rv s="0">
    <v>https://www.bing.com/financeapi/forcetrigger?t=a256cw&amp;q=XNYS%3aV&amp;form=skydnc</v>
    <v>Learn more on Bing</v>
  </rv>
  <rv s="1">
    <v>en-CA</v>
    <v>a256cw</v>
    <v>268435456</v>
    <v>1</v>
    <v>Powered by Refinitiv</v>
    <v>0</v>
    <v>VISA INC. (XNYS:V)</v>
    <v>2</v>
    <v>3</v>
    <v>Finance</v>
    <v>4</v>
    <v>236.96</v>
    <v>174.6</v>
    <v>0.92110000000000003</v>
    <v>3.67</v>
    <v>1.3479000000000001E-2</v>
    <v>1.9244000000000001E-2</v>
    <v>2.62</v>
    <v>USD</v>
    <v>Visa Inc. (Visa) is a payments technology company that provides digital payments across more than 200 countries and territories. The Company connects consumers, merchants, financial institutions, businesses, strategic partners and government entities to electronic payments. The Company operates through payment services segment. The Company's transaction processing network, VisaNet, facilitates authorization, clearing and settlement of payment transactions and enables to provide its financial institution and merchant clients a range of products, platforms and value-added services. Its products/services include transaction processing services and Visa-branded payment products. The Company also offers Tink, an open banking platform that enables financial institutions, fintech and merchants to build financial products and services and move money. Tink enables its customers to move money, access aggregated financial data, and use smart financial services such as risk insights, and others.</v>
    <v>21500</v>
    <v>New York Stock Exchange</v>
    <v>XNYS</v>
    <v>XNYS</v>
    <v>P.O. Box 8999, SAN FRANCISCO, CA, 94128-8999 US</v>
    <v>195.23</v>
    <v>Software &amp; IT Services</v>
    <v>Stock</v>
    <v>44859.999708691408</v>
    <v>100</v>
    <v>190.72</v>
    <v>402139369780</v>
    <v>VISA INC.</v>
    <v>VISA INC.</v>
    <v>190.87</v>
    <v>29.276599999999998</v>
    <v>190.71</v>
    <v>194.38</v>
    <v>197</v>
    <v>2068831000</v>
    <v>V</v>
    <v>VISA INC. (XNYS:V)</v>
    <v>11907242</v>
    <v>7427837</v>
    <v>2007</v>
  </rv>
  <rv s="2">
    <v>101</v>
  </rv>
  <rv s="0">
    <v>https://www.bing.com/financeapi/forcetrigger?t=a21icw&amp;q=XNAS%3aPYPL&amp;form=skydnc</v>
    <v>Learn more on Bing</v>
  </rv>
  <rv s="1">
    <v>en-CA</v>
    <v>a21icw</v>
    <v>268435456</v>
    <v>1</v>
    <v>Powered by Refinitiv</v>
    <v>0</v>
    <v>PAYPAL HOLDINGS, INC. (XNAS:PYPL)</v>
    <v>2</v>
    <v>3</v>
    <v>Finance</v>
    <v>4</v>
    <v>255.52</v>
    <v>67.58</v>
    <v>1.3621000000000001</v>
    <v>5.92</v>
    <v>-1.5351999999999999E-2</v>
    <v>7.1051000000000003E-2</v>
    <v>-1.37</v>
    <v>USD</v>
    <v>PayPal Holdings, Inc. is a technology platform that enables digital payments and commerce experiences on behalf of merchants and consumers across the world. It operates a global, two-sided network at scale that connects merchants and consumers with 426 million active accounts across more than 200 markets. Its brands include PayPal, Braintree, Venmo, Xoom, Zettle, Hyperwallet, Honey, Happy Returns by PayPal, Chargehound, Paidy and Simility. The Company helps merchants and consumers connect, transact, and complete payments, whether they are online or in person. It enables consumers to exchange funds with merchants using a range of funding sources, which may include a bank account, a PayPal or Venmo account balance, PayPal and Venmo branded credit products, a credit card, a debit card, certain cryptocurrencies, or other stored value products, such as gift cards, and eligible credit card rewards. It also offers consumers person-to-person (P2P) payment solutions.</v>
    <v>30900</v>
    <v>Nasdaq Stock Market</v>
    <v>XNAS</v>
    <v>XNAS</v>
    <v>2211 N 1st St, SAN JOSE, CA, 95131 US</v>
    <v>89.68</v>
    <v>Software &amp; IT Services</v>
    <v>Stock</v>
    <v>44859.999872649998</v>
    <v>103</v>
    <v>85.96</v>
    <v>103203918240</v>
    <v>PAYPAL HOLDINGS, INC.</v>
    <v>PAYPAL HOLDINGS, INC.</v>
    <v>86.17</v>
    <v>48.087600000000002</v>
    <v>83.32</v>
    <v>89.24</v>
    <v>87.87</v>
    <v>1156476000</v>
    <v>PYPL</v>
    <v>PAYPAL HOLDINGS, INC. (XNAS:PYPL)</v>
    <v>18001395</v>
    <v>12857700</v>
    <v>2015</v>
  </rv>
  <rv s="2">
    <v>104</v>
  </rv>
  <rv s="0">
    <v>https://www.bing.com/financeapi/forcetrigger?t=a23i8m&amp;q=XNYS%3aSQ&amp;form=skydnc</v>
    <v>Learn more on Bing</v>
  </rv>
  <rv s="1">
    <v>en-CA</v>
    <v>a23i8m</v>
    <v>268435456</v>
    <v>1</v>
    <v>Powered by Refinitiv</v>
    <v>0</v>
    <v>BLOCK, INC. (XNYS:SQ)</v>
    <v>2</v>
    <v>3</v>
    <v>Finance</v>
    <v>4</v>
    <v>270.16000000000003</v>
    <v>51.45</v>
    <v>2.3763999999999998</v>
    <v>2.67</v>
    <v>-2.7990000000000001E-2</v>
    <v>4.6849999999999996E-2</v>
    <v>-1.6698999999999999</v>
    <v>USD</v>
    <v>Block, Inc. creates tools that enable businesses, sellers and individuals to participate in the economy. Its segments include Square and Cash App. The Square segment includes managed payment services, software solutions, hardware and financial services products offered to sellers. Square segment also offers GoParrot, a digital ordering and marketing platform for restaurants. The Cash App segment includes the financial tools available to individuals within the mobile Cash App, including peer-to-peer payments, bitcoin and stock investments. Cash App segment also includes Cash Card, which is linked to customer-stored balances that customers can use to pay for purchases or withdraw funds from an ATM. Its Square ecosystem consists of more than 30 software, hardware, and financial services products. With Cash App, it is building an ecosystem of financial products and services that helps individuals manage their money by making it relatable, instantly available, and universally accessible.</v>
    <v>8521</v>
    <v>New York Stock Exchange</v>
    <v>XNYS</v>
    <v>XNYS</v>
    <v>1455 Market Street, Suite 600, SAN FRANCISCO, CA, 94103 US</v>
    <v>60.32</v>
    <v>Professional &amp; Commercial Services</v>
    <v>Stock</v>
    <v>44859.999948529687</v>
    <v>106</v>
    <v>56.96</v>
    <v>35210956142</v>
    <v>BLOCK, INC.</v>
    <v>BLOCK, INC.</v>
    <v>56.96</v>
    <v>313.78280000000001</v>
    <v>56.99</v>
    <v>59.66</v>
    <v>57.990099999999998</v>
    <v>590193700</v>
    <v>SQ</v>
    <v>BLOCK, INC. (XNYS:SQ)</v>
    <v>12990552</v>
    <v>14385007</v>
    <v>2009</v>
  </rv>
  <rv s="2">
    <v>107</v>
  </rv>
  <rv s="0">
    <v>https://www.bing.com/financeapi/forcetrigger?t=a1mou2&amp;q=XNAS%3aAAPL&amp;form=skydnc</v>
    <v>Learn more on Bing</v>
  </rv>
  <rv s="1">
    <v>en-CA</v>
    <v>a1mou2</v>
    <v>268435456</v>
    <v>1</v>
    <v>Powered by Refinitiv</v>
    <v>0</v>
    <v>APPLE INC. (XNAS:AAPL)</v>
    <v>2</v>
    <v>3</v>
    <v>Finance</v>
    <v>4</v>
    <v>182.94</v>
    <v>129.04</v>
    <v>1.2470000000000001</v>
    <v>2.89</v>
    <v>-9.6489999999999996E-3</v>
    <v>1.9338000000000001E-2</v>
    <v>-1.47</v>
    <v>USD</v>
    <v>Apple Inc. (Apple) designs, manufactures and markets smartphones, personal computers, tablets, wearables and accessories and sells a range of related services. The Company’s products include iPhone, Mac, iPad, AirPods, Apple TV, Apple Watch, Beats products, HomePod, iPod touch and accessories. The Company operates various platforms, including the App Store, which allows customers to discover and download applications and digital content, such as books, music, video, games and podcasts. Apple offers digital content through subscription-based services, including Apple Arcade, Apple Music, Apple News+, Apple TV+ and Apple Fitness+. Apple also offers a range of other services, such as AppleCare, iCloud, Apple Card and Apple Pay. Apple sells its products and resells third-party products in a range of markets, including directly to consumers, small and mid-sized businesses, and education, enterprise and government customers through its retail and online stores and its direct sales force.</v>
    <v>154000</v>
    <v>Nasdaq Stock Market</v>
    <v>XNAS</v>
    <v>XNAS</v>
    <v>One Apple Park Way, CUPERTINO, CA, 95014 US</v>
    <v>152.49</v>
    <v>Computers, Phones &amp; Household Electronics</v>
    <v>Stock</v>
    <v>44859.99997024297</v>
    <v>109</v>
    <v>149.36000000000001</v>
    <v>2448218055000</v>
    <v>APPLE INC.</v>
    <v>APPLE INC.</v>
    <v>150.09</v>
    <v>24.694500000000001</v>
    <v>149.44999999999999</v>
    <v>152.34</v>
    <v>150.87</v>
    <v>16070750000</v>
    <v>AAPL</v>
    <v>APPLE INC. (XNAS:AAPL)</v>
    <v>74732290</v>
    <v>92117331</v>
    <v>1977</v>
  </rv>
  <rv s="2">
    <v>110</v>
  </rv>
  <rv s="0">
    <v>https://www.bing.com/financeapi/forcetrigger?t=azqpgh&amp;q=XNAS%3aDOCU&amp;form=skydnc</v>
    <v>Learn more on Bing</v>
  </rv>
  <rv s="6">
    <v>en-CA</v>
    <v>azqpgh</v>
    <v>268435456</v>
    <v>1</v>
    <v>Powered by Refinitiv</v>
    <v>10</v>
    <v>DOCUSIGN, INC. (XNAS:DOCU)</v>
    <v>2</v>
    <v>11</v>
    <v>Finance</v>
    <v>4</v>
    <v>288.5</v>
    <v>42.13</v>
    <v>1.1508</v>
    <v>1.76</v>
    <v>-4.2404999999999998E-2</v>
    <v>3.6311000000000003E-2</v>
    <v>-2.13</v>
    <v>USD</v>
    <v>DocuSign, Inc. offers electronic signature product, enabling an agreement to be signed electronically on a variety of devices, from virtually anywhere in the world. The Company offers DocuSign Agreement Cloud, which is a cloud software platform that automates and connects the entire agreement process. It includes DocuSign eSignature, an electronic signature solution. The Agreement Cloud also includes several other applications for automating pre- and post-signature processes, such as automatically generating an agreement from data in other systems, supporting negotiation workflow, collecting payment after signatures, and using artificial intelligence (AI) to analyze a collection of agreements for risks and opportunities. The Agreement Cloud also includes hundreds of integrations to other systems, so agreement processes can integrate with other business processes and data. Its offers DocuSign Insight, which uses AI to search and analyze agreements by legal concepts and clauses.</v>
    <v>7461</v>
    <v>Nasdaq Stock Market</v>
    <v>XNAS</v>
    <v>XNAS</v>
    <v>221 Main St Ste 1550, SAN FRANCISCO, CA, 94105-1947 US</v>
    <v>50.62</v>
    <v>Software &amp; IT Services</v>
    <v>Stock</v>
    <v>44859.999586805468</v>
    <v>112</v>
    <v>49.06</v>
    <v>10085144239</v>
    <v>DOCUSIGN, INC.</v>
    <v>DOCUSIGN, INC.</v>
    <v>49.06</v>
    <v>48.47</v>
    <v>50.23</v>
    <v>48.1</v>
    <v>200779300</v>
    <v>DOCU</v>
    <v>DOCUSIGN, INC. (XNAS:DOCU)</v>
    <v>4135744</v>
    <v>4818801</v>
    <v>2012</v>
  </rv>
  <rv s="2">
    <v>113</v>
  </rv>
  <rv s="0">
    <v>https://www.bing.com/financeapi/forcetrigger?t=a242z2&amp;q=XNYS%3aTDOC&amp;form=skydnc</v>
    <v>Learn more on Bing</v>
  </rv>
  <rv s="1">
    <v>en-CA</v>
    <v>a242z2</v>
    <v>268435456</v>
    <v>1</v>
    <v>Powered by Refinitiv</v>
    <v>0</v>
    <v>Teladoc Health, Inc. (XNYS:TDOC)</v>
    <v>2</v>
    <v>3</v>
    <v>Finance</v>
    <v>4</v>
    <v>156.82</v>
    <v>23.08</v>
    <v>0.90249999999999997</v>
    <v>2.12</v>
    <v>-3.4019000000000001E-2</v>
    <v>8.6073999999999998E-2</v>
    <v>-0.91</v>
    <v>USD</v>
    <v>Teladoc Health, Inc. provides virtual healthcare services. The Company operates in health services segment. The Company provides virtual access to care with a portfolio of services and solutions, which includes various medical subspecialties from non-urgent, episodic needs, such as flu and upper respiratory infections, to chronic, complicated medical conditions, such as hypertension, cancer and congestive heart failure. It provides provide virtual healthcare services on a business-to-business (B2B) basis to its clients including employers, health plans, hospitals and health systems, and insurance and financial services companies spanning the global healthcare landscape and provide services to consumers directly and through channel partners. The Company’s consumer brands, including Teladoc, Livongo, Advance Medical, Best Doctors, BetterHelp and HealthiestYou, provides access to advice and resolution for an array of healthcare needs.</v>
    <v>5100</v>
    <v>New York Stock Exchange</v>
    <v>XNYS</v>
    <v>XNYS</v>
    <v>2 Manhattanville Rd Ste 203, PURCHASE, NY, 10577-2118 US</v>
    <v>27.074999999999999</v>
    <v>Healthcare Providers &amp; Services</v>
    <v>Stock</v>
    <v>44859.99994299766</v>
    <v>115</v>
    <v>24.8</v>
    <v>4324346150</v>
    <v>Teladoc Health, Inc.</v>
    <v>Teladoc Health, Inc.</v>
    <v>24.86</v>
    <v>0</v>
    <v>24.63</v>
    <v>26.75</v>
    <v>25.84</v>
    <v>161657800</v>
    <v>TDOC</v>
    <v>Teladoc Health, Inc. (XNYS:TDOC)</v>
    <v>5703134</v>
    <v>4624932</v>
    <v>2008</v>
  </rv>
  <rv s="2">
    <v>116</v>
  </rv>
  <rv s="0">
    <v>https://www.bing.com/financeapi/forcetrigger?t=bq8rqh&amp;q=XNAS%3aCRWD&amp;form=skydnc</v>
    <v>Learn more on Bing</v>
  </rv>
  <rv s="6">
    <v>en-CA</v>
    <v>bq8rqh</v>
    <v>268435456</v>
    <v>1</v>
    <v>Powered by Refinitiv</v>
    <v>10</v>
    <v>CROWDSTRIKE HOLDINGS, INC. (XNAS:CRWD)</v>
    <v>2</v>
    <v>11</v>
    <v>Finance</v>
    <v>4</v>
    <v>298.48</v>
    <v>130</v>
    <v>1.2124999999999999</v>
    <v>4.1399999999999997</v>
    <v>-3.1645E-2</v>
    <v>2.6207999999999999E-2</v>
    <v>-5.13</v>
    <v>USD</v>
    <v>CrowdStrike Holdings, Inc. provides cloud-delivered solutions for endpoint and cloud workload protection via a software-as-a-service (SaaS) subscription-based model. The Company offers Falcon platform in a SaaS subscription-based model, which delivers integrated, technologies that deliver protection and performance, while reducing customer complexity. The Company's Falcon platform leverages a single lightweight-agent architecture with integrated cloud modules spanning multiple security markets, including corporate workload security, managed security services, security and vulnerability management, information technology (IT) operations management, threat intelligence services, identity protection and log management. It also offers approximately 22 cloud modules on its Falcon platform, which include Falcon Prevent, Falcon Insight, Falcon Device Control, Falcon Firewall Management, Falcon XDR, Falcon Discover, Falcon Spotlight and others.</v>
    <v>6250</v>
    <v>Nasdaq Stock Market</v>
    <v>XNAS</v>
    <v>XNAS</v>
    <v>206 E. 9TH STREET, SUITE 1400, AUSTIN, TX, 78701 US</v>
    <v>164.67</v>
    <v>Software &amp; IT Services</v>
    <v>Stock</v>
    <v>44859.999843957812</v>
    <v>118</v>
    <v>159.21</v>
    <v>37833312855</v>
    <v>CROWDSTRIKE HOLDINGS, INC.</v>
    <v>CROWDSTRIKE HOLDINGS, INC.</v>
    <v>159.22</v>
    <v>157.97</v>
    <v>162.11000000000001</v>
    <v>156.97999999999999</v>
    <v>233380500</v>
    <v>CRWD</v>
    <v>CROWDSTRIKE HOLDINGS, INC. (XNAS:CRWD)</v>
    <v>2125106</v>
    <v>2812824</v>
    <v>2011</v>
  </rv>
  <rv s="2">
    <v>119</v>
  </rv>
  <rv s="0">
    <v>https://www.bing.com/financeapi/forcetrigger?t=aaxkh7&amp;q=XTSE%3aCNR&amp;form=skydnc</v>
    <v>Learn more on Bing</v>
  </rv>
  <rv s="1">
    <v>en-CA</v>
    <v>aaxkh7</v>
    <v>268435456</v>
    <v>1</v>
    <v>Powered by Refinitiv</v>
    <v>0</v>
    <v>Canadian National Railway Company (XTSE:CNR)</v>
    <v>2</v>
    <v>19</v>
    <v>Finance</v>
    <v>20</v>
    <v>171.48</v>
    <v>137.26</v>
    <v>0.69240000000000002</v>
    <v>1.64</v>
    <v>0</v>
    <v>1.0539E-2</v>
    <v>0</v>
    <v>CAD</v>
    <v>Canadian National Railway Company is engaged in the rail and related transportation business. The Company's network of route miles of track spans Canada and the United States. Its network and connections to all Class I railroads provide its customers access to Canada, the United States and Mexico. It transports over 300 million tons of cargo annually, serving exporters, importers, retailers, farmers and manufacturers. It offers its goods annually for a range of business sectors, ranging from resource products to manufactured products to consumer goods. Its services include rail, intermodal, trucking, supply chain services, business development, and maps and network. It offers its services across industries, such as automotive, coal, fertilizer, food and beverages, forest products, dimensional loads, grain, metals and minerals, petroleum and chemicals, consumer goods, customer reports, centerbeam auction program and boxcar auction program.</v>
    <v>27930</v>
    <v>Toronto Stock Exchange</v>
    <v>XTSE</v>
    <v>XTSE</v>
    <v>935 de la Gauchetiere Street West, MONTREAL, QC, H3B 2M9 CA</v>
    <v>157.85</v>
    <v>Freight &amp; Logistics Services</v>
    <v>Stock</v>
    <v>44859.833333333336</v>
    <v>121</v>
    <v>154.68</v>
    <v>106876063250</v>
    <v>Canadian National Railway Company</v>
    <v>Canadian National Railway Company</v>
    <v>154.69</v>
    <v>21.33</v>
    <v>155.61000000000001</v>
    <v>157.25</v>
    <v>157.25</v>
    <v>679657000</v>
    <v>CNR</v>
    <v>Canadian National Railway Company (XTSE:CNR)</v>
    <v>1372826</v>
    <v>1194200</v>
    <v>1995</v>
  </rv>
  <rv s="2">
    <v>122</v>
  </rv>
  <rv s="0">
    <v>https://www.bing.com/financeapi/forcetrigger?t=ab12w7&amp;q=XTSE%3aRY&amp;form=skydnc</v>
    <v>Learn more on Bing</v>
  </rv>
  <rv s="1">
    <v>en-CA</v>
    <v>ab12w7</v>
    <v>268435456</v>
    <v>1</v>
    <v>Powered by Refinitiv</v>
    <v>0</v>
    <v>ROYAL BANK OF CANADA (XTSE:RY)</v>
    <v>2</v>
    <v>19</v>
    <v>Finance</v>
    <v>20</v>
    <v>149.595</v>
    <v>116.75</v>
    <v>0.72689999999999999</v>
    <v>0.62</v>
    <v>0</v>
    <v>5.0299999999999997E-3</v>
    <v>0</v>
    <v>CAD</v>
    <v>Royal Bank of Canada is a diversified financial services company. The Company provides personal and commercial banking, wealth management services, insurance, investor services and capital markets products and services on a global basis. The Company's business segments include Personal &amp; Commercial Banking, Wealth Management, Insurance, Investor and Treasury Services, Capital Markets, and Corporate Support. Personal &amp; Commercial Banking segment comprises its personal banking operations and certain retail investment businesses in Canada, the Caribbean and United States, as well as its commercial and corporate banking operations in Canada and the Caribbean. Wealth Management segment includes a suite of investment, trust, banking, credit and other advice-based solutions. Its Insurance segment offers a range of life, health, home, auto, travel, wealth, annuities, reinsurance advice and solutions, as well as business insurance solutions, to individual, business and group clients.</v>
    <v>88541</v>
    <v>Toronto Stock Exchange</v>
    <v>XTSE</v>
    <v>XTSE</v>
    <v>Royal Bank Plaza, 200 Bay Street, TORONTO, ON, M5J2J5 CA</v>
    <v>124.18</v>
    <v>Banking Services</v>
    <v>Stock</v>
    <v>44859.843946759262</v>
    <v>124</v>
    <v>122.05</v>
    <v>173416800000</v>
    <v>ROYAL BANK OF CANADA</v>
    <v>ROYAL BANK OF CANADA</v>
    <v>122.05</v>
    <v>11.21</v>
    <v>123.26</v>
    <v>123.88</v>
    <v>123.88</v>
    <v>1392458000</v>
    <v>RY</v>
    <v>ROYAL BANK OF CANADA (XTSE:RY)</v>
    <v>16054250</v>
    <v>5351450</v>
    <v>1995</v>
  </rv>
  <rv s="2">
    <v>125</v>
  </rv>
  <rv s="0">
    <v>https://www.bing.com/financeapi/forcetrigger?t=aawxa2&amp;q=XTSE%3aBAM.A&amp;form=skydnc</v>
    <v>Learn more on Bing</v>
  </rv>
  <rv s="1">
    <v>en-CA</v>
    <v>aawxa2</v>
    <v>268435456</v>
    <v>1</v>
    <v>Powered by Refinitiv</v>
    <v>0</v>
    <v>Brookfield Asset Management Inc. (XTSE:BAM.A)</v>
    <v>2</v>
    <v>21</v>
    <v>Finance</v>
    <v>20</v>
    <v>79.040000000000006</v>
    <v>51.07</v>
    <v>1.2791999999999999</v>
    <v>1.1299999999999999</v>
    <v>0</v>
    <v>2.1635000000000001E-2</v>
    <v>0</v>
    <v>CAD</v>
    <v>Brookfield Asset Management Inc. is an alternative asset manager. The Company's segments include Asset management, Real estate, Renewable power and transition, Infrastructure, Private equity, Residential development, and Corporate activities. The Asset management segment includes managing its long-term private funds, perpetual strategies and liquid strategies on behalf of its investors. The Real estate segment includes the ownership, operation and development of core and transitional and development investments. Renewable power and transition segment includes the ownership, operation and development of hydroelectric, wind, solar and energy transition power generating facilities. Infrastructure segment includes the ownership, operation and development of utilities, transport, midstream, and resource assets. The Private equity segment is focused on business services, infrastructure services and industrials. The Residential development segment includes homebuilding and land development.</v>
    <v>180000</v>
    <v>Toronto Stock Exchange</v>
    <v>XTSE</v>
    <v>XTSE</v>
    <v>Brookfield Place, 181 Bay St C 300, PO Box 762, TORONTO, ON, M5J 2T3 CA</v>
    <v>53.77</v>
    <v>Investment Banking &amp; Investment Services</v>
    <v>Stock</v>
    <v>44859.844398148147</v>
    <v>127</v>
    <v>52.27</v>
    <v>62547880000</v>
    <v>Brookfield Asset Management Inc.</v>
    <v>Brookfield Asset Management Inc.</v>
    <v>52.31</v>
    <v>17.73</v>
    <v>52.23</v>
    <v>53.36</v>
    <v>53.36</v>
    <v>1641677000</v>
    <v>BAM.A</v>
    <v>Brookfield Asset Management Inc. (XTSE:BAM.A)</v>
    <v>2368598</v>
    <v>3409920</v>
    <v>2005</v>
  </rv>
  <rv s="2">
    <v>128</v>
  </rv>
  <rv s="0">
    <v>https://www.bing.com/financeapi/forcetrigger?t=aaybr7&amp;q=XTSE%3aFTS&amp;form=skydnc</v>
    <v>Learn more on Bing</v>
  </rv>
  <rv s="1">
    <v>en-CA</v>
    <v>aaybr7</v>
    <v>268435456</v>
    <v>1</v>
    <v>Powered by Refinitiv</v>
    <v>0</v>
    <v>Fortis Inc. (XTSE:FTS)</v>
    <v>2</v>
    <v>19</v>
    <v>Finance</v>
    <v>20</v>
    <v>65.260000000000005</v>
    <v>48.45</v>
    <v>0.18329999999999999</v>
    <v>0.21</v>
    <v>0</v>
    <v>4.0670000000000003E-3</v>
    <v>0</v>
    <v>CAD</v>
    <v>Fortis Inc. is a Canada-based regulated electric and gas utility holding company. The Company's regulated utility businesses includes ITC Investment Holdings Inc., ITC Holdings Corp. and the electric transmission operations of its regulated operating subsidiaries, which include International Transmission Company, Michigan Electric Transmission Company, LLC, ITC Midwest LLC and ITC Great Plains, LLC; UNS Energy Corporation, which primarily includes Tucson Electric Power Company (TEP), UNS Electric, Inc. and UNS Gas, Inc.; CH Energy Group, Inc, which primarily includes Central Hudson Gas and Electric Corporation; FortisBC Energy Inc.; FortisAlberta Inc. and FortisBC Inc. The Company's Non-regulated energy infrastructure consists of Aitken Creek Gas Storage ULC (Aitken Creek) a natural gas storage facility in British Columbia, and Belize Electric Company Limited (BECOL) a three hydroelectric generation facilities with a combined capacity of 51 Megawatts in Belize.</v>
    <v>9095</v>
    <v>Toronto Stock Exchange</v>
    <v>XTSE</v>
    <v>XTSE</v>
    <v>Fortis Place, Suite 1100, 5 Springdale Street, PO Box 8837, ST. JOHNS, NL, A1B 3T2 CA</v>
    <v>52.05</v>
    <v>Electrical Utilities &amp; IPPs</v>
    <v>Stock</v>
    <v>44859.833333333336</v>
    <v>130</v>
    <v>51.45</v>
    <v>24815414016</v>
    <v>Fortis Inc.</v>
    <v>Fortis Inc.</v>
    <v>51.58</v>
    <v>19.54</v>
    <v>51.63</v>
    <v>51.84</v>
    <v>51.84</v>
    <v>478692400</v>
    <v>FTS</v>
    <v>Fortis Inc. (XTSE:FTS)</v>
    <v>1753448</v>
    <v>2164850</v>
    <v>1987</v>
  </rv>
  <rv s="2">
    <v>131</v>
  </rv>
  <rv s="0">
    <v>https://www.bing.com/financeapi/forcetrigger?t=ab17bh&amp;q=XTSE%3aSHOP&amp;form=skydnc</v>
    <v>Learn more on Bing</v>
  </rv>
  <rv s="1">
    <v>en-CA</v>
    <v>ab17bh</v>
    <v>268435456</v>
    <v>1</v>
    <v>Powered by Refinitiv</v>
    <v>0</v>
    <v>SHOPIFY INC. (XTSE:SHOP)</v>
    <v>2</v>
    <v>21</v>
    <v>Finance</v>
    <v>20</v>
    <v>222.87299999999999</v>
    <v>33</v>
    <v>1.8118000000000001</v>
    <v>1.1399999999999999</v>
    <v>0</v>
    <v>2.8868000000000001E-2</v>
    <v>0</v>
    <v>CAD</v>
    <v>Shopify Inc. (Shopify) provides a cloud-based, multi-channel commerce platform designed for small and medium-sized businesses. The Company offers subscription solutions and merchant solutions. The Company's software is used by merchants to run their business across all of their sales channels, including Web and mobile storefronts, physical retail locations, social media storefronts and marketplaces. The Shopify platform provides merchants with a single view of their business and customers across all of their sales channels and enables them to manage products and inventory, process orders and payments, ship orders, build customer relationships and leverage analytics and reporting all from one integrated back office. The Shopify platform includes a mobile-optimized checkout system, which is designed to enable merchants' consumers to buy products over mobile Websites.</v>
    <v>10000</v>
    <v>Toronto Stock Exchange</v>
    <v>XTSE</v>
    <v>XTSE</v>
    <v>Suite 200, 126 York Street, OTTAWA, ON, K1N 5T5 CA</v>
    <v>41.09</v>
    <v>Software &amp; IT Services</v>
    <v>Stock</v>
    <v>44859.844502314816</v>
    <v>133</v>
    <v>39.799999999999997</v>
    <v>36307370000</v>
    <v>SHOPIFY INC.</v>
    <v>SHOPIFY INC.</v>
    <v>39.880000000000003</v>
    <v>262.07</v>
    <v>39.49</v>
    <v>40.630000000000003</v>
    <v>40.630000000000003</v>
    <v>1262865000</v>
    <v>SHOP</v>
    <v>SHOPIFY INC. (XTSE:SHOP)</v>
    <v>3159561</v>
    <v>28069080</v>
    <v>2004</v>
  </rv>
  <rv s="2">
    <v>134</v>
  </rv>
  <rv s="0">
    <v>https://www.bing.com/financeapi/forcetrigger?t=a1vb5r&amp;q=XNAS%3aIDXX&amp;form=skydnc</v>
    <v>Learn more on Bing</v>
  </rv>
  <rv s="1">
    <v>en-CA</v>
    <v>a1vb5r</v>
    <v>268435456</v>
    <v>1</v>
    <v>Powered by Refinitiv</v>
    <v>0</v>
    <v>IDEXX LABORATORIES, INC. (XNAS:IDXX)</v>
    <v>2</v>
    <v>3</v>
    <v>Finance</v>
    <v>4</v>
    <v>672.93</v>
    <v>317.06</v>
    <v>1.1351</v>
    <v>7.41</v>
    <v>0</v>
    <v>2.1482000000000001E-2</v>
    <v>0</v>
    <v>USD</v>
    <v>IDEXX Laboratories, Inc. develops, manufactures and distributes products and provides services for the companion animal veterinary, livestock and poultry, dairy and water testing markets. It also offers human medical point-of-care &amp; laboratory diagnostics. Its products include health monitoring, others. Its segments include Companion Animal Group (CAG), Water quality products (Water), and Livestock, Poultry and Dairy (LPD). The CAG segment CAG develops, designs, manufactures, and distributes products and performs services for veterinarians and the biomedical analytics market, primarily related to diagnostics and information management. The Water segment develops, designs, manufactures, and distributes a range of products used in the detection of various microbiological parameters in water. The LPD segment develops, designs, manufactures, and distributes diagnostic tests and related instrumentation and performs services that are used to manage the health status of livestock and poultry.</v>
    <v>10350</v>
    <v>Nasdaq Stock Market</v>
    <v>XNAS</v>
    <v>XNAS</v>
    <v>One Idexx Drive, WESTBROOK, ME, 04092-2041 US</v>
    <v>356.19</v>
    <v>Healthcare Equipment &amp; Supplies</v>
    <v>Stock</v>
    <v>44859.980321481249</v>
    <v>136</v>
    <v>345.88</v>
    <v>29334441195</v>
    <v>IDEXX LABORATORIES, INC.</v>
    <v>IDEXX LABORATORIES, INC.</v>
    <v>345.88</v>
    <v>44.582500000000003</v>
    <v>344.94</v>
    <v>352.35</v>
    <v>352.35</v>
    <v>83253700</v>
    <v>IDXX</v>
    <v>IDEXX LABORATORIES, INC. (XNAS:IDXX)</v>
    <v>543283</v>
    <v>492103</v>
    <v>1983</v>
  </rv>
  <rv s="2">
    <v>137</v>
  </rv>
  <rv s="0">
    <v>https://www.bing.com/financeapi/forcetrigger?t=bqef52&amp;q=XNYS%3aCHWY&amp;form=skydnc</v>
    <v>Learn more on Bing</v>
  </rv>
  <rv s="1">
    <v>en-CA</v>
    <v>bqef52</v>
    <v>268435456</v>
    <v>1</v>
    <v>Powered by Refinitiv</v>
    <v>0</v>
    <v>CHEWY, INC. (XNYS:CHWY)</v>
    <v>2</v>
    <v>3</v>
    <v>Finance</v>
    <v>4</v>
    <v>80.575000000000003</v>
    <v>22.22</v>
    <v>0.58589999999999998</v>
    <v>1.59</v>
    <v>-1.6837999999999999E-2</v>
    <v>4.1623E-2</v>
    <v>-0.67</v>
    <v>USD</v>
    <v>Chewy, Inc. is a pure play e-commerce company geared toward pet products for dogs, cats, fish, birds, small pets, horses, and reptiles. The Company's brands include A Pet Hub, A&amp;E Cage Company, A Pet's Life, ABO Gear, Bark and Slumber, B&amp;G Martin, C&amp;S, KONG, Nutro, ORIJEN, NexGard, and Frisco. It offers a selection of quality pet food, treats and supplies, and pet healthcare products. The Company's product offerings include Food products such as dry food, wet food, veterinary diets, raw food; Treat products, such as soft and chewy treats, biscuits, cookies and crunchy treats, dental treats, jerky treats, bones, bully sticks and natural chews; Healthcare products such as Dental care, DNA Kits, Heartworm Prevention &amp; Dewormers, Milk Replacers and Eye Care, and Vitamin and supplements, such as Hip &amp; Joint, Digestive Health &amp; Probiotics, Multivitamins, Anxiety &amp; Calming, Heart &amp; Liver. The Company serves its customers through its retail Website, www.chewy.com, and its mobile applications.</v>
    <v>21300</v>
    <v>New York Stock Exchange</v>
    <v>XNYS</v>
    <v>XNYS</v>
    <v>7700 WEST SUNRISE BOULEVARD, PLANTATION, FL, 33322 US</v>
    <v>40.664999999999999</v>
    <v>Specialty Retailers</v>
    <v>Stock</v>
    <v>44859.999982823436</v>
    <v>139</v>
    <v>38.299999999999997</v>
    <v>16819857703</v>
    <v>CHEWY, INC.</v>
    <v>CHEWY, INC.</v>
    <v>38.299999999999997</v>
    <v>0</v>
    <v>38.200000000000003</v>
    <v>39.79</v>
    <v>39.119999999999997</v>
    <v>422715700</v>
    <v>CHWY</v>
    <v>CHEWY, INC. (XNYS:CHWY)</v>
    <v>3897981</v>
    <v>4497157</v>
    <v>2013</v>
  </rv>
  <rv s="2">
    <v>140</v>
  </rv>
  <rv s="0">
    <v>https://www.bing.com/financeapi/forcetrigger?t=buv2z2&amp;q=XNYS%3aLMND&amp;form=skydnc</v>
    <v>Learn more on Bing</v>
  </rv>
  <rv s="1">
    <v>en-CA</v>
    <v>buv2z2</v>
    <v>268435456</v>
    <v>1</v>
    <v>Powered by Refinitiv</v>
    <v>0</v>
    <v>LEMONADE, INC. (XNYS:LMND)</v>
    <v>2</v>
    <v>3</v>
    <v>Finance</v>
    <v>4</v>
    <v>79.540000000000006</v>
    <v>15.99</v>
    <v>2.3919999999999999</v>
    <v>1.1200000000000001</v>
    <v>-3.0146000000000003E-2</v>
    <v>5.0679000000000002E-2</v>
    <v>-0.7</v>
    <v>USD</v>
    <v>Lemonade, Inc. is an insurance company that offers renters, homeowners, car, pet, and life insurance. The Company offers its products to renters and homeowners in the United States, contents and liability insurance in Germany, and the Netherlands, and renters’ insurance in France. The insurance it offers in the United States covers stolen or damaged property, and personal liability, which protects its customers if they are responsible for an accident or damage to another person or their property. The Company also offers landlord insurance policies to condo and co-op owners who rent out their property less than five times a year to protect their real and personal properties. The Company’s offerings are available through its iOS and Android applications, as well as through its Website (www.lemonade.com.). Its products cover all residents of a household who are related to the customer by marriage, blood, or adoption.</v>
    <v>1119</v>
    <v>New York Stock Exchange</v>
    <v>XNYS</v>
    <v>XNYS</v>
    <v>5 CROSBY STREET, 3RD FLOOR, NEW YORK, NY, 10013 US</v>
    <v>23.4</v>
    <v>Insurance</v>
    <v>Stock</v>
    <v>44859.994963460158</v>
    <v>142</v>
    <v>22.1</v>
    <v>1600916135</v>
    <v>LEMONADE, INC.</v>
    <v>LEMONADE, INC.</v>
    <v>22.1</v>
    <v>0</v>
    <v>22.1</v>
    <v>23.22</v>
    <v>22.52</v>
    <v>68945570</v>
    <v>LMND</v>
    <v>LEMONADE, INC. (XNYS:LMND)</v>
    <v>661915</v>
    <v>879657</v>
    <v>2015</v>
  </rv>
  <rv s="2">
    <v>143</v>
  </rv>
  <rv s="0">
    <v>https://www.bing.com/financeapi/forcetrigger?t=a1tckr&amp;q=XNAS%3aFRPT&amp;form=skydnc</v>
    <v>Learn more on Bing</v>
  </rv>
  <rv s="1">
    <v>en-CA</v>
    <v>a1tckr</v>
    <v>268435456</v>
    <v>1</v>
    <v>Powered by Refinitiv</v>
    <v>0</v>
    <v>FRESHPET, INC. (XNAS:FRPT)</v>
    <v>2</v>
    <v>3</v>
    <v>Finance</v>
    <v>4</v>
    <v>159.66499999999999</v>
    <v>36.020000000000003</v>
    <v>0.79679999999999995</v>
    <v>2.52</v>
    <v>-1.3176E-2</v>
    <v>4.5685000000000003E-2</v>
    <v>-0.76</v>
    <v>USD</v>
    <v>Freshpet, Inc. is engaged in the manufacturing, marketing and distribution of pet food and pet treats for dogs and cats. The Company's products consist of dog food, cat food and dog treats. The Company’s products are made according to its nutritional philosophy of fresh, meat-based nutrition and minimal processing. Its recipes include real, fresh meat and varying combinations of vitamin-rich vegetables, leafy greens and antioxidant rich fruits, without the use of preservatives, additives or artificial ingredients. Its products are sold under the Freshpet brand name, with ingredients, packaging and labeling customized by different classes of trade and are available in multiple forms. It also offers fresh treats across all classes of retail under the Dognation and Dog Joy labels. It sells its products through a growing network of Company-owned branded refrigerators, the Freshpet Fridges. The Company sells its products throughout the United States, Canada and Europe.</v>
    <v>789</v>
    <v>Nasdaq Stock Market</v>
    <v>XNAS</v>
    <v>XNAS</v>
    <v>400 Plaza Dr Fl 1, SECAUCUS, NJ, 07094-3605 US</v>
    <v>58.16</v>
    <v>Food &amp; Tobacco</v>
    <v>Stock</v>
    <v>44859.837894015625</v>
    <v>145</v>
    <v>55.1</v>
    <v>2758282402</v>
    <v>FRESHPET, INC.</v>
    <v>FRESHPET, INC.</v>
    <v>55.1</v>
    <v>1330.1420000000001</v>
    <v>55.16</v>
    <v>57.68</v>
    <v>56.92</v>
    <v>47820430</v>
    <v>FRPT</v>
    <v>FRESHPET, INC. (XNAS:FRPT)</v>
    <v>535899</v>
    <v>1266814</v>
    <v>2004</v>
  </rv>
  <rv s="2">
    <v>146</v>
  </rv>
  <rv s="0">
    <v>https://www.bing.com/financeapi/forcetrigger?t=a1pgz2&amp;q=XNAS%3aCENT&amp;form=skydnc</v>
    <v>Learn more on Bing</v>
  </rv>
  <rv s="1">
    <v>en-CA</v>
    <v>a1pgz2</v>
    <v>268435456</v>
    <v>1</v>
    <v>Powered by Refinitiv</v>
    <v>0</v>
    <v>CENTRAL GARDEN &amp; PET COMPANY (XNAS:CENT)</v>
    <v>2</v>
    <v>3</v>
    <v>Finance</v>
    <v>4</v>
    <v>57.32</v>
    <v>35.61</v>
    <v>0.60709999999999997</v>
    <v>1.08</v>
    <v>0</v>
    <v>2.7734999999999999E-2</v>
    <v>0</v>
    <v>USD</v>
    <v>Central Garden &amp; Pet Company is engaged in the pet and garden industries in the United States. Its Pet segment includes dog and cat supplies, such as dog treats and chews, toys, pet beds and grooming products, waste management and training pads, pet containment, supplies for aquatics, small animals, reptiles and pet birds, including toys, cages and habitats, bedding, food and supplements, products for equine and livestock, animal and household health and insect control products, live fish and small animals as well as outdoor cushions. These products are sold under brands, such as Aqueon, Cadet, Comfort Zone, Farnam, Four Paws and others. Its Garden segment includes lawn and garden consumables, such as grass, vegetable, flower and herb seed, wild bird feed, bird houses and other birding accessories, weed, grass, and other herbicides, insecticide and pesticide products, fertilizers, and live plants. These products are sold under brands, such as Amdro, Ferry-Morse, Pennington, and Sevin.</v>
    <v>6500</v>
    <v>Nasdaq Stock Market</v>
    <v>XNAS</v>
    <v>XNAS</v>
    <v>SUITE 600, 1340 TREAT BOULEVARD, WALNUT CREEK, CA, 94597 US</v>
    <v>40.4</v>
    <v>Food &amp; Tobacco</v>
    <v>Stock</v>
    <v>44859.834663760936</v>
    <v>148</v>
    <v>39.14</v>
    <v>2095366000</v>
    <v>CENTRAL GARDEN &amp; PET COMPANY</v>
    <v>CENTRAL GARDEN &amp; PET COMPANY</v>
    <v>39.14</v>
    <v>14.0756</v>
    <v>38.94</v>
    <v>40.020000000000003</v>
    <v>40.020000000000003</v>
    <v>55988640</v>
    <v>CENT</v>
    <v>CENTRAL GARDEN &amp; PET COMPANY (XNAS:CENT)</v>
    <v>36066</v>
    <v>47862</v>
    <v>1992</v>
  </rv>
  <rv s="2">
    <v>149</v>
  </rv>
  <rv s="0">
    <v>https://www.bing.com/financeapi/forcetrigger?t=a24j5r&amp;q=XNAS%3aTRUP&amp;form=skydnc</v>
    <v>Learn more on Bing</v>
  </rv>
  <rv s="1">
    <v>en-CA</v>
    <v>a24j5r</v>
    <v>268435456</v>
    <v>1</v>
    <v>Powered by Refinitiv</v>
    <v>0</v>
    <v>TRUPANION, INC. (XNAS:TRUP)</v>
    <v>2</v>
    <v>3</v>
    <v>Finance</v>
    <v>4</v>
    <v>158.2499</v>
    <v>44.7</v>
    <v>1.8289</v>
    <v>1.7</v>
    <v>-2.8355999999999999E-2</v>
    <v>3.4886E-2</v>
    <v>-1.43</v>
    <v>USD</v>
    <v>Trupanion, Inc. is a provider of medical insurance for cats and dogs throughout the United States, Canada, Puerto Rico, and Australia. The Company operates in two segments: Subscription Business and Other Business. The Subscription Business segment includes subscription fees related to the Company's Trupanion branded products. The Other Business segment comprises of other product offerings that generally have a business-to-business relationship and a different margin profile than its subscription segment, including writing policies on behalf of third parties and other products and software solutions. The Company’s core Trupanion product provides software that is designed to communicate directly with a veterinary hospitals practice management software. Using its software, veterinary hospitals can receive payment from it directly for approved invoices in seconds, with their clients (its members) only paying their deductible or co-payment of covered treatments.</v>
    <v>1131</v>
    <v>Nasdaq Stock Market</v>
    <v>XNAS</v>
    <v>XNAS</v>
    <v>6100 4Th Avenue South, Suite 400, SEATTLE, WA, 98108 US</v>
    <v>51.641500000000001</v>
    <v>Insurance</v>
    <v>Stock</v>
    <v>44859.938586978904</v>
    <v>151</v>
    <v>48.75</v>
    <v>2054829353</v>
    <v>TRUPANION, INC.</v>
    <v>TRUPANION, INC.</v>
    <v>48.87</v>
    <v>1569.934</v>
    <v>48.73</v>
    <v>50.43</v>
    <v>49</v>
    <v>40746170</v>
    <v>TRUP</v>
    <v>TRUPANION, INC. (XNAS:TRUP)</v>
    <v>589935</v>
    <v>631059</v>
    <v>2006</v>
  </rv>
  <rv s="2">
    <v>152</v>
  </rv>
  <rv s="0">
    <v>https://www.bing.com/financeapi/forcetrigger?t=bx5dnm&amp;q=XNYS%3aBARK&amp;form=skydnc</v>
    <v>Learn more on Bing</v>
  </rv>
  <rv s="1">
    <v>en-CA</v>
    <v>bx5dnm</v>
    <v>268435456</v>
    <v>1</v>
    <v>Powered by Refinitiv</v>
    <v>0</v>
    <v>BARK, INC. (XNYS:BARK)</v>
    <v>2</v>
    <v>3</v>
    <v>Finance</v>
    <v>4</v>
    <v>7.6</v>
    <v>1.25</v>
    <v>2.1709999999999998</v>
    <v>0.14000000000000001</v>
    <v>-3.4285999999999997E-2</v>
    <v>8.6957000000000007E-2</v>
    <v>-0.06</v>
    <v>USD</v>
    <v>BARK, Inc., formerly The Original BARK Company, is a dog-centric company. The Company is engaged in offering dogs products, services and content. Its team applies its data-driven understanding of what makes each dog special by designing playstyle-specific toys, wildly satisfying treats, personalized meal plans and supplements, and dog-first experiences that foster the health and happiness of dogs everywhere. It serves dogs nationwide with monthly subscription services. The Company serves approximately 2.3 million dogs monthly through BarkBox and Super Chewer subscriptions, and custom product collections through its retail partner network, including Target and Amazon. It offers personalized nutrition and meal plans through its BARK Food, and health and wellness products that meet dogs needs with BARK Bright brands. It offers dog parents a variety of products for daily life, including dog beds, bowls, collars, harnesses, and leashes under BARK Home brand through its Website BarkShop.com.</v>
    <v>643</v>
    <v>New York Stock Exchange</v>
    <v>XNYS</v>
    <v>XNYS</v>
    <v>221 Canal St., Fl 6, 405 Lexington Avenue, 11Th Floor, NEW YORK, NY, 10013 US</v>
    <v>1.75</v>
    <v>Specialty Retailers</v>
    <v>Stock</v>
    <v>44859.958333378905</v>
    <v>154</v>
    <v>1.61</v>
    <v>307633550</v>
    <v>BARK, INC.</v>
    <v>BARK, INC.</v>
    <v>1.61</v>
    <v>0</v>
    <v>1.61</v>
    <v>1.75</v>
    <v>1.69</v>
    <v>175790600</v>
    <v>BARK</v>
    <v>BARK, INC. (XNYS:BARK)</v>
    <v>1236949</v>
    <v>1241049</v>
    <v>2020</v>
  </rv>
  <rv s="2">
    <v>155</v>
  </rv>
  <rv s="0">
    <v>https://www.bing.com/financeapi/forcetrigger?t=bvswar&amp;q=XTSE%3aNVEI&amp;form=skydnc</v>
    <v>Learn more on Bing</v>
  </rv>
  <rv s="1">
    <v>en-CA</v>
    <v>bvswar</v>
    <v>268435456</v>
    <v>1</v>
    <v>Powered by Refinitiv</v>
    <v>0</v>
    <v>Nuvei Corp (XTSE:NVEI)</v>
    <v>2</v>
    <v>19</v>
    <v>Finance</v>
    <v>20</v>
    <v>167.5</v>
    <v>34.47</v>
    <v>1.956</v>
    <v>2.34</v>
    <v>0</v>
    <v>6.2466999999999995E-2</v>
    <v>0</v>
    <v>CAD</v>
    <v>Nuvei Corporation provides electronic payment technology solutions to merchants and partners in North America, Europe, Middle East and Africa, Latin America and Asia-Pacific. Its solutions span the entire payments stack and include an integrated payments engine with global processing capabilities and a suite of data-driven business intelligence tools and risk management services. The Company’s platform provides pay-in and payout capabilities, connecting merchants with their customers in over 200 markets worldwide. Its platform supports for more than 530 alternative payment methods (APMs), including cryptocurrencies, and over 150 currencies. It also enables online payments, mobile payment and in-store payments. Its platform enables customers to accept payments worldwide regardless of their customers’ location, device or preferred payment method. Its technology includes gateway, currency management, global payouts, card issuing, open banking, data reporting and reconciliation tools.</v>
    <v>1368</v>
    <v>Toronto Stock Exchange</v>
    <v>XTSE</v>
    <v>XTSE</v>
    <v>900-1100 boul. Rene-Levesque O, MONTREAL, QC, H3B 4N4 CA</v>
    <v>39.840000000000003</v>
    <v>Professional &amp; Commercial Services</v>
    <v>Stock</v>
    <v>44859.833333333336</v>
    <v>157</v>
    <v>37.54</v>
    <v>5623787760</v>
    <v>Nuvei Corp</v>
    <v>Nuvei Corp</v>
    <v>37.99</v>
    <v>56.54</v>
    <v>37.46</v>
    <v>39.799999999999997</v>
    <v>39.799999999999997</v>
    <v>141301200</v>
    <v>NVEI</v>
    <v>Nuvei Corp (XTSE:NVEI)</v>
    <v>174758</v>
    <v>240590</v>
    <v>2017</v>
  </rv>
  <rv s="2">
    <v>158</v>
  </rv>
  <rv s="0">
    <v>https://www.bing.com/financeapi/forcetrigger?t=bsd6w7&amp;q=XTSE%3aDCBO&amp;form=skydnc</v>
    <v>Learn more on Bing</v>
  </rv>
  <rv s="6">
    <v>en-CA</v>
    <v>bsd6w7</v>
    <v>268435456</v>
    <v>1</v>
    <v>Powered by Refinitiv</v>
    <v>10</v>
    <v>Docebo Inc. (XTSE:DCBO)</v>
    <v>2</v>
    <v>22</v>
    <v>Finance</v>
    <v>20</v>
    <v>102.93</v>
    <v>32.35</v>
    <v>1.5209999999999999</v>
    <v>1.53</v>
    <v>0</v>
    <v>3.9413000000000004E-2</v>
    <v>0</v>
    <v>CAD</v>
    <v>Docebo Inc. is a provider of cloud-based learning management systems (LMS). The Company is engaged in redefining the way enterprises leverage technology to create and manage content, deliver training, and understand the business impact of their learning experiences. It provides an easy-to-use and configurable learning platform with the end-to-end capabilities and critical functionality needed to train internal and external workforces, partners and customers. It offers a learning suite, which includes Learn LMS, Shape, Content, Learning Impact, Learning Analytics, Connect and Flow. Its Learn LMS is a cloud-based learning platform that allows learning administrators to deliver scalable and flexible personalized learning experiences, from formal training to social learning, to multiple internal, external and blended audiences. Its Flow is a product that allows businesses to directly inject learning into the flow of work, helping organizations to create an always-on learning culture.</v>
    <v>726</v>
    <v>Toronto Stock Exchange</v>
    <v>XTSE</v>
    <v>XTSE</v>
    <v>366 Adelaide Street West, Suite 701, Toronto, ON, M5V 1R9 CA</v>
    <v>40.880000000000003</v>
    <v>Software &amp; IT Services</v>
    <v>Stock</v>
    <v>44859.833333333336</v>
    <v>160</v>
    <v>38.619999999999997</v>
    <v>1327586823</v>
    <v>Docebo Inc.</v>
    <v>Docebo Inc.</v>
    <v>38.82</v>
    <v>38.82</v>
    <v>40.35</v>
    <v>40.35</v>
    <v>32901780</v>
    <v>DCBO</v>
    <v>Docebo Inc. (XTSE:DCBO)</v>
    <v>38567</v>
    <v>46810</v>
    <v>2016</v>
  </rv>
  <rv s="2">
    <v>161</v>
  </rv>
  <rv s="0">
    <v>https://www.bing.com/financeapi/forcetrigger?t=bv84p2&amp;q=XTSE%3aDND&amp;form=skydnc</v>
    <v>Learn more on Bing</v>
  </rv>
  <rv s="1">
    <v>en-CA</v>
    <v>bv84p2</v>
    <v>268435456</v>
    <v>1</v>
    <v>Powered by Refinitiv</v>
    <v>0</v>
    <v>Dye &amp; Durham Limited (XTSE:DND)</v>
    <v>2</v>
    <v>19</v>
    <v>Finance</v>
    <v>20</v>
    <v>50.49</v>
    <v>11.88</v>
    <v>1.3420000000000001</v>
    <v>-0.06</v>
    <v>0</v>
    <v>-3.715E-3</v>
    <v>0</v>
    <v>CAD</v>
    <v>Dye &amp; Durham Limited is a Canada-based provider of cloud-based software and technology solutions. The Company provides critical workflow software and information services, which clients use to manage their process information and regulatory requirements. Its legal software automates workflow and streamlines access to public records to support end-to-end legal transactions-solutions range from due diligence searches on an acquisition or financing to corporate registrations and the automation of all documents required to complete a real estate purchase, sale and mortgage. It provides government agencies with searches on corporations and individuals to facilitate investigations and compliance reviews. It offers financial institutions a range of technology-enabled risk mitigation solutions focused on challenges related to anti-money launderings/know-your-customer and lien management. It serves over 50,000 legal firms, financial service institutions and government organizations.</v>
    <v>1381</v>
    <v>Toronto Stock Exchange</v>
    <v>XTSE</v>
    <v>XTSE</v>
    <v>199 Bay Street, Suite 4610, Toronto, ON, M5L 1E9 CA</v>
    <v>16.690000000000001</v>
    <v>Software &amp; IT Services</v>
    <v>Stock</v>
    <v>44859.833333333336</v>
    <v>163</v>
    <v>15.99</v>
    <v>1112625913</v>
    <v>Dye &amp; Durham Limited</v>
    <v>Dye &amp; Durham Limited</v>
    <v>15.99</v>
    <v>59</v>
    <v>16.149999999999999</v>
    <v>16.09</v>
    <v>16.09</v>
    <v>69150150</v>
    <v>DND</v>
    <v>Dye &amp; Durham Limited (XTSE:DND)</v>
    <v>190795</v>
    <v>233690</v>
    <v>2020</v>
  </rv>
  <rv s="2">
    <v>164</v>
  </rv>
  <rv s="0">
    <v>https://www.bing.com/financeapi/forcetrigger?t=bpb6cw&amp;q=XTSE%3aLSPD&amp;form=skydnc</v>
    <v>Learn more on Bing</v>
  </rv>
  <rv s="6">
    <v>en-CA</v>
    <v>bpb6cw</v>
    <v>268435456</v>
    <v>1</v>
    <v>Powered by Refinitiv</v>
    <v>10</v>
    <v>Lightspeed Commerce Inc. (XTSE:LSPD)</v>
    <v>2</v>
    <v>22</v>
    <v>Finance</v>
    <v>20</v>
    <v>126.6</v>
    <v>19.579999999999998</v>
    <v>2.8975</v>
    <v>0.43</v>
    <v>0</v>
    <v>1.7339E-2</v>
    <v>0</v>
    <v>CAD</v>
    <v>Lightspeed Commerce Inc. is a one-stop commerce platform helps merchants to simplify, scale and provide customer experiences. The Company’s cloud solution transforms and unifies online and physical operations, multichannel sales, expansion to new locations, global payments, financing and connection to supplier networks. Its one-stop commerce platform provides its customers with the critical functionalities they need to engage with consumers, manage their operations, accept payments, and grow their business. The Company's products include retail, e-commerce, restaurant and golf.</v>
    <v>3000</v>
    <v>Toronto Stock Exchange</v>
    <v>XTSE</v>
    <v>XTSE</v>
    <v>700 Saint-Antoine Street East, Suite 300, MONTREAL, QC, H2Y 1A6 CA</v>
    <v>26.33</v>
    <v>Software &amp; IT Services</v>
    <v>Stock</v>
    <v>44859.833333333336</v>
    <v>166</v>
    <v>24.85</v>
    <v>3792467634</v>
    <v>Lightspeed Commerce Inc.</v>
    <v>Lightspeed Commerce Inc.</v>
    <v>24.96</v>
    <v>24.8</v>
    <v>25.23</v>
    <v>25.23</v>
    <v>150315800</v>
    <v>LSPD</v>
    <v>Lightspeed Commerce Inc. (XTSE:LSPD)</v>
    <v>1354319</v>
    <v>1282790</v>
    <v>2005</v>
  </rv>
  <rv s="2">
    <v>167</v>
  </rv>
  <rv s="0">
    <v>https://www.bing.com/financeapi/forcetrigger?t=aay2ar&amp;q=XTSE%3aENGH&amp;form=skydnc</v>
    <v>Learn more on Bing</v>
  </rv>
  <rv s="1">
    <v>en-CA</v>
    <v>aay2ar</v>
    <v>268435456</v>
    <v>1</v>
    <v>Powered by Refinitiv</v>
    <v>0</v>
    <v>Enghouse Systems Limited (XTSE:ENGH)</v>
    <v>2</v>
    <v>19</v>
    <v>Finance</v>
    <v>20</v>
    <v>61.45</v>
    <v>23.96</v>
    <v>0.9556</v>
    <v>0.43</v>
    <v>0</v>
    <v>1.4761E-2</v>
    <v>0</v>
    <v>CAD</v>
    <v>Enghouse Systems Limited develops enterprise software solutions for a range of vertical markets. The Company's segments include the Interactive Management Group (IMG) and the Asset Management Group (AMG). IMG specializes in customer interaction software and services that are designed to manage customer communications across the enterprise. Its technologies include contact center, attendant console, voice response, dialers, agent performance optimization and analytics that support telephony environments, deployed on premise or in the cloud. AMG offers a range of products to telecom service providers, utilities, and the oil and gas industry. Its products include network infrastructure, OSS, BSS, and revenue generation solutions, such as video and cloud television solutions. AMG also provides fleet routing, dispatch, scheduling, transit e-ticketing and emergency control center solutions. It offers a contact center platform. The Company also provides of SaaS automated solutions.</v>
    <v>1813</v>
    <v>Toronto Stock Exchange</v>
    <v>XTSE</v>
    <v>XTSE</v>
    <v>80 Tiverton Court, Suite 800, MARKHAM, ON, L3R 0G4 CA</v>
    <v>29.65</v>
    <v>Software &amp; IT Services</v>
    <v>Stock</v>
    <v>44859.833333333336</v>
    <v>169</v>
    <v>29.13</v>
    <v>1633581374</v>
    <v>Enghouse Systems Limited</v>
    <v>Enghouse Systems Limited</v>
    <v>29.14</v>
    <v>18.64</v>
    <v>29.13</v>
    <v>29.56</v>
    <v>29.56</v>
    <v>55263240</v>
    <v>ENGH</v>
    <v>Enghouse Systems Limited (XTSE:ENGH)</v>
    <v>42683</v>
    <v>58020</v>
    <v>1984</v>
  </rv>
  <rv s="2">
    <v>170</v>
  </rv>
  <rv s="0">
    <v>https://www.bing.com/financeapi/forcetrigger?t=aaz16h&amp;q=XTSE%3aKXS&amp;form=skydnc</v>
    <v>Learn more on Bing</v>
  </rv>
  <rv s="1">
    <v>en-CA</v>
    <v>aaz16h</v>
    <v>268435456</v>
    <v>1</v>
    <v>Powered by Refinitiv</v>
    <v>0</v>
    <v>KINAXIS INC. (XTSE:KXS)</v>
    <v>2</v>
    <v>19</v>
    <v>Finance</v>
    <v>20</v>
    <v>229.98</v>
    <v>119.48</v>
    <v>0.84399999999999997</v>
    <v>0.53</v>
    <v>0</v>
    <v>3.7450000000000001E-3</v>
    <v>0</v>
    <v>CAD</v>
    <v>Kinaxis Inc. is a Canada-based company that delivers cloud-based, software-as-a-service (SaaS) solutions. It enables to make confident decisions across integrated business planning and the digital supply chain. The Company combines human intelligence with artificial intelligence (AI) and concurrent planning to help companies plan for any future, monitor risks and opportunities and respond in real time. The Company's subscription-based, software applications and extensible, cloud-based RapidResponse platform helps planners, business leaders and information technology (IT) professionals to know sooner and remove waste, to make best decisions for their business and customers. Its solutions include sales and operations planning, demand planning supply planning, inventory management, command and control center. The Company serves various industries, such as electronics, aerospace and defense, life sciences and pharmaceuticals, industrial, automotive, consumer products and retail.</v>
    <v>1152</v>
    <v>Toronto Stock Exchange</v>
    <v>XTSE</v>
    <v>XTSE</v>
    <v>700 Silver Seven Rd, KANATA, ON, K2V 1C3 CA</v>
    <v>146.04</v>
    <v>Software &amp; IT Services</v>
    <v>Stock</v>
    <v>44859.833333333336</v>
    <v>172</v>
    <v>141.25</v>
    <v>3957792838</v>
    <v>KINAXIS INC.</v>
    <v>KINAXIS INC.</v>
    <v>143.12</v>
    <v>448.86</v>
    <v>141.52000000000001</v>
    <v>142.05000000000001</v>
    <v>142.05000000000001</v>
    <v>27861970</v>
    <v>KXS</v>
    <v>KINAXIS INC. (XTSE:KXS)</v>
    <v>52035</v>
    <v>56650</v>
    <v>2014</v>
  </rv>
  <rv s="2">
    <v>173</v>
  </rv>
  <rv s="0">
    <v>https://www.bing.com/financeapi/forcetrigger?t=aaxn6h&amp;q=XTSE%3aCSU&amp;form=skydnc</v>
    <v>Learn more on Bing</v>
  </rv>
  <rv s="1">
    <v>en-CA</v>
    <v>aaxn6h</v>
    <v>268435456</v>
    <v>1</v>
    <v>Powered by Refinitiv</v>
    <v>0</v>
    <v>Constellation Software Inc. (XTSE:CSU)</v>
    <v>2</v>
    <v>19</v>
    <v>Finance</v>
    <v>20</v>
    <v>2385.8000000000002</v>
    <v>1783.98</v>
    <v>0.85099999999999998</v>
    <v>28.93</v>
    <v>0</v>
    <v>1.5063999999999999E-2</v>
    <v>0</v>
    <v>CAD</v>
    <v>Constellation Software Inc. is engaged principally in the development, installation and customization of software as well as in the provisioning of related professional services and support for customers globally across over 100 diverse markets. The Company acquires, manages and builds vertical market software (VMS) businesses that develop specialized, mission-critical software solutions to address the specific needs of its particular industries. It sells on-premise software licenses on both a perpetual and specified-term basis. The Company operates through six segments, including Volaris, Harris, Topicus, Vela, Jonas and Perseus. Each of its segments operates as mini-Constellations, conglomerates of small vertical market software companies with similar economic characteristics. Its services include software licensing, professional services, maintenance and hardware services. It operates in three principal geographical areas, Canada, the United States, and United Kingdom/Europe.</v>
    <v>32000</v>
    <v>Toronto Stock Exchange</v>
    <v>XTSE</v>
    <v>XTSE</v>
    <v>#1200 - 20 Adelaide Street East, TORONTO, ON, M5C 2T6 CA</v>
    <v>1970</v>
    <v>Software &amp; IT Services</v>
    <v>Stock</v>
    <v>44859.833333333336</v>
    <v>175</v>
    <v>1920.48</v>
    <v>41310980497</v>
    <v>Constellation Software Inc.</v>
    <v>Constellation Software Inc.</v>
    <v>1920.48</v>
    <v>69.489999999999995</v>
    <v>1920.48</v>
    <v>1949.41</v>
    <v>1949.41</v>
    <v>21191530</v>
    <v>CSU</v>
    <v>Constellation Software Inc. (XTSE:CSU)</v>
    <v>27689</v>
    <v>27470</v>
    <v>2002</v>
  </rv>
  <rv s="2">
    <v>176</v>
  </rv>
  <rv s="0">
    <v>https://www.bing.com/financeapi/forcetrigger?t=a22b77&amp;q=XNAS%3aRUN&amp;form=skydnc</v>
    <v>Learn more on Bing</v>
  </rv>
  <rv s="1">
    <v>en-CA</v>
    <v>a22b77</v>
    <v>268435456</v>
    <v>1</v>
    <v>Powered by Refinitiv</v>
    <v>0</v>
    <v>SUNRUN INC. (XNAS:RUN)</v>
    <v>2</v>
    <v>3</v>
    <v>Finance</v>
    <v>4</v>
    <v>60.6</v>
    <v>16.8</v>
    <v>2.1219999999999999</v>
    <v>1.68</v>
    <v>-8.9880000000000012E-3</v>
    <v>8.6331000000000005E-2</v>
    <v>-0.19</v>
    <v>USD</v>
    <v>Sunrun Inc. is engaged in the development, installation, sale, ownership, and maintenance of residential solar energy systems (Projects) in the United States. The Company provides battery storage along with solar energy systems to its customers in select markets and sells its services to commercial developers through its multi-family and new homes offerings. The Company installs solar energy systems on its customers’ homes and provides them with the solar power produced by those systems for a 20- or 25-year initial term. In addition, it monitors, maintains, and ensures the system during the term of the contract. Its products include solar rooftop panel systems and solar power batteries. It provides electric vehicle (EV) chargers, battery retrofits, re-powered or expanding systems, home energy management services, and other home electrification products. It also manages and shares stored solar energy from the batteries to provide benefits to households, utilities, and the electric grid.</v>
    <v>11383</v>
    <v>Nasdaq Stock Market</v>
    <v>XNAS</v>
    <v>XNAS</v>
    <v>225 Bush St Ste 1400, SAN FRANCISCO, CA, 94104 US</v>
    <v>21.41</v>
    <v>Renewable Energy</v>
    <v>Stock</v>
    <v>44859.999306562502</v>
    <v>178</v>
    <v>19.46</v>
    <v>4483882788</v>
    <v>SUNRUN INC.</v>
    <v>SUNRUN INC.</v>
    <v>19.46</v>
    <v>1846.4960000000001</v>
    <v>19.46</v>
    <v>21.14</v>
    <v>20.95</v>
    <v>212104200</v>
    <v>RUN</v>
    <v>SUNRUN INC. (XNAS:RUN)</v>
    <v>8374152</v>
    <v>7673805</v>
    <v>2008</v>
  </rv>
  <rv s="2">
    <v>179</v>
  </rv>
  <rv s="0">
    <v>https://www.bing.com/financeapi/forcetrigger?t=ayz4u2&amp;q=XNAS%3aBLNK&amp;form=skydnc</v>
    <v>Learn more on Bing</v>
  </rv>
  <rv s="1">
    <v>en-CA</v>
    <v>ayz4u2</v>
    <v>268435456</v>
    <v>1</v>
    <v>Powered by Refinitiv</v>
    <v>0</v>
    <v>BLINK CHARGING CO. (XNAS:BLNK)</v>
    <v>2</v>
    <v>3</v>
    <v>Finance</v>
    <v>4</v>
    <v>49</v>
    <v>12.66</v>
    <v>3.3942000000000001</v>
    <v>1.26</v>
    <v>-2.0619000000000002E-2</v>
    <v>9.4808000000000003E-2</v>
    <v>-0.3</v>
    <v>USD</v>
    <v>Blink Charging Co. is an owner, operator, and provider of electric vehicle (EV) charging equipment and networked EV charging services in United States and international markets for EVs. It offers residential and commercial EV charging equipment and services, enabling EV drivers to recharge at various location types. Its principal line of products and services includes its Blink EV charging network (the Blink Network) and Blink EV charging equipment, also known as electric vehicle supply equipment (EVSE) and other EV-related services. The Blink Network is a cloud-based system that operates, maintains, and manages Blink charging stations and handles the associated charging data, back-end operations, and payment processing. The Blink Network provides property owners, managers, parking companies, and state and municipal entities (Property Partners), among other types of commercial customers, with cloud-based services that enable the remote monitoring and management of EV charging stations.</v>
    <v>191</v>
    <v>Nasdaq Stock Market</v>
    <v>XNAS</v>
    <v>XNAS</v>
    <v>407 Lincoln Rd Ste 704, MIAMI BEACH, FL, 33139 US</v>
    <v>15.28</v>
    <v>Machinery, Equipment &amp; Components</v>
    <v>Stock</v>
    <v>44859.997845115628</v>
    <v>181</v>
    <v>13.24</v>
    <v>739812646</v>
    <v>BLINK CHARGING CO.</v>
    <v>BLINK CHARGING CO.</v>
    <v>13.25</v>
    <v>3.0375999999999999</v>
    <v>13.29</v>
    <v>14.55</v>
    <v>14.25</v>
    <v>50846230</v>
    <v>BLNK</v>
    <v>BLINK CHARGING CO. (XNAS:BLNK)</v>
    <v>1849644</v>
    <v>974309</v>
    <v>2006</v>
  </rv>
  <rv s="2">
    <v>182</v>
  </rv>
  <rv s="0">
    <v>https://www.bing.com/financeapi/forcetrigger?t=a1zyw7&amp;q=XNAS%3aPLUG&amp;form=skydnc</v>
    <v>Learn more on Bing</v>
  </rv>
  <rv s="6">
    <v>en-CA</v>
    <v>a1zyw7</v>
    <v>268435456</v>
    <v>1</v>
    <v>Powered by Refinitiv</v>
    <v>10</v>
    <v>PLUG POWER INC. (XNAS:PLUG)</v>
    <v>2</v>
    <v>11</v>
    <v>Finance</v>
    <v>4</v>
    <v>46.5</v>
    <v>12.7</v>
    <v>1.6160000000000001</v>
    <v>0.84</v>
    <v>-1.9311999999999999E-2</v>
    <v>5.3400999999999997E-2</v>
    <v>-0.32</v>
    <v>USD</v>
    <v>Plug Power Inc. is a provider of hydrogen fuel cell turnkey solutions. The Company is focused on proton exchange membrane (PEM), fuel cell and fuel processing technologies, fuel cell/battery hybrid technologies, and associated hydrogen and green hydrogen generation, storage, and dispensing infrastructure. The Company delivers end-to-end clean hydrogen and zero-emissions fuel cell solutions for supply chain and logistics applications, on-road electric vehicles, the stationary power market, and more. In addition, the Company manufactures and sells fuel cell products to replace batteries and diesel generators in stationary backup power applications. The Company's products include GenDrive, GenFuel, GenCare, GenSure, GenKey, ProGen and GenFuel Electrolyzers. The Company’s products and services serve the North American and European material handling markets, and primarily supports large to mid-sized fleet, multi-shift operations in high-volume manufacturing and distribution centers.</v>
    <v>2449</v>
    <v>Nasdaq Stock Market</v>
    <v>XNAS</v>
    <v>XNAS</v>
    <v>968 Albany-Shaker Road, LATHAM, NY, 12110 US</v>
    <v>16.855</v>
    <v>Renewable Energy</v>
    <v>Stock</v>
    <v>44859.99990631875</v>
    <v>184</v>
    <v>15.73</v>
    <v>9588991063</v>
    <v>PLUG POWER INC.</v>
    <v>PLUG POWER INC.</v>
    <v>15.73</v>
    <v>15.73</v>
    <v>16.57</v>
    <v>16.25</v>
    <v>578695900</v>
    <v>PLUG</v>
    <v>PLUG POWER INC. (XNAS:PLUG)</v>
    <v>17301996</v>
    <v>17557825</v>
    <v>1999</v>
  </rv>
  <rv s="2">
    <v>185</v>
  </rv>
  <rv s="0">
    <v>https://www.bing.com/financeapi/forcetrigger?t=a1rzh7&amp;q=XNAS%3aENPH&amp;form=skydnc</v>
    <v>Learn more on Bing</v>
  </rv>
  <rv s="1">
    <v>en-CA</v>
    <v>a1rzh7</v>
    <v>268435456</v>
    <v>1</v>
    <v>Powered by Refinitiv</v>
    <v>0</v>
    <v>ENPHASE ENERGY, INC. (XNAS:ENPH)</v>
    <v>2</v>
    <v>3</v>
    <v>Finance</v>
    <v>4</v>
    <v>324.8399</v>
    <v>113.4</v>
    <v>1.3802000000000001</v>
    <v>12.29</v>
    <v>3.5430999999999997E-2</v>
    <v>4.8520000000000001E-2</v>
    <v>9.41</v>
    <v>USD</v>
    <v>Enphase Energy, Inc. is an energy technology company. The Company is a supplier of microinverter-based solar and battery systems that enable people to harness the sun to make, use, save, and sell their own power, and control it all with a smart mobile application. Its semiconductor-based microinverter converts energy at the individual solar module level and, combined with its networking and software technologies that provides advanced energy monitoring and control. Its Enphase Home Energy Solution with IQ platform, which is an integrated solar, storage and energy management offering, uses a single technology platform for managing the whole solution, enabling rapid commissioning with the Installer Toolkit; consumption monitoring with its Envoy Communications Gateway with IQ Combiner+, Enphase Enlighten, and its Enphase AC Battery. It also provides Internet of Things (IoT) software solutions for customers to connect and manage a range of distributed energy devices within the home.</v>
    <v>2260</v>
    <v>Nasdaq Stock Market</v>
    <v>XNAS</v>
    <v>XNAS</v>
    <v>47281 Bayside Parkway, FREMONT, CA, 94538 US</v>
    <v>268.89</v>
    <v>Renewable Energy</v>
    <v>Stock</v>
    <v>44859.99994302031</v>
    <v>187</v>
    <v>256.22000000000003</v>
    <v>35976104307</v>
    <v>ENPHASE ENERGY, INC.</v>
    <v>ENPHASE ENERGY, INC.</v>
    <v>256.57</v>
    <v>178.62180000000001</v>
    <v>253.3</v>
    <v>265.58999999999997</v>
    <v>275</v>
    <v>135457300</v>
    <v>ENPH</v>
    <v>ENPHASE ENERGY, INC. (XNAS:ENPH)</v>
    <v>4893712</v>
    <v>3924928</v>
    <v>2006</v>
  </rv>
  <rv s="2">
    <v>188</v>
  </rv>
  <rv s="0">
    <v>https://www.bing.com/financeapi/forcetrigger?t=aax5dm&amp;q=XTSE%3aBLX&amp;form=skydnc</v>
    <v>Learn more on Bing</v>
  </rv>
  <rv s="1">
    <v>en-CA</v>
    <v>aax5dm</v>
    <v>268435456</v>
    <v>1</v>
    <v>Powered by Refinitiv</v>
    <v>0</v>
    <v>BORALEX INC. (XTSE:BLX)</v>
    <v>2</v>
    <v>19</v>
    <v>Finance</v>
    <v>20</v>
    <v>51.55</v>
    <v>30.04</v>
    <v>0.49840000000000001</v>
    <v>0.19</v>
    <v>0</v>
    <v>5.1630000000000001E-3</v>
    <v>0</v>
    <v>CAD</v>
    <v>Boralex Inc. (Boralex) is primarily engaged in the development, construction and operation of renewable energy power facilities. The Company's segments include wind, solar, hydroelectricity and storage. It operates under the power generation industry sector. The Company has interests in approximately 90 wind farms, 16 hydroelectric power stations and approximately 12 solar power stations, which is representing an asset base with an installed capacity totaling 2,458 megawatts (MW). In addition, Boralex has projects under development, representing an additional 154 MW of power and a portfolio of secured projects amounting to 493 MW. The Company is developing a portfolio of more than three GW of wind and solar projects and approximately 200 MW of storage projects. The Company also operates two hydroelectric power stations on behalf of R.S.P. Energie Inc.</v>
    <v>562</v>
    <v>Toronto Stock Exchange</v>
    <v>XTSE</v>
    <v>XTSE</v>
    <v>36 Rue Lajeunesse, KINGSEY FALLS, QC, J0A 1B0 CA</v>
    <v>37.26</v>
    <v>Electrical Utilities &amp; IPPs</v>
    <v>Stock</v>
    <v>44859.833333333336</v>
    <v>190</v>
    <v>35.14</v>
    <v>3781673000</v>
    <v>BORALEX INC.</v>
    <v>BORALEX INC.</v>
    <v>35.4</v>
    <v>67.52</v>
    <v>36.799999999999997</v>
    <v>36.99</v>
    <v>36.99</v>
    <v>102762800</v>
    <v>BLX</v>
    <v>BORALEX INC. (XTSE:BLX)</v>
    <v>369918</v>
    <v>309490</v>
    <v>1995</v>
  </rv>
  <rv s="2">
    <v>191</v>
  </rv>
  <rv s="0">
    <v>https://www.bing.com/financeapi/forcetrigger?t=a24kar&amp;q=XNAS%3aTSLA&amp;form=skydnc</v>
    <v>Learn more on Bing</v>
  </rv>
  <rv s="1">
    <v>en-CA</v>
    <v>a24kar</v>
    <v>268435456</v>
    <v>1</v>
    <v>Powered by Refinitiv</v>
    <v>0</v>
    <v>TESLA, INC. (XNAS:TSLA)</v>
    <v>2</v>
    <v>3</v>
    <v>Finance</v>
    <v>4</v>
    <v>414.49630000000002</v>
    <v>198.58629999999999</v>
    <v>2.0091000000000001</v>
    <v>11.164999999999999</v>
    <v>-2.3582000000000002E-2</v>
    <v>5.2851999999999996E-2</v>
    <v>-5.2450000000000001</v>
    <v>USD</v>
    <v>Tesla, Inc. designs, develops, manufactures, sells and leases fully electric vehicles and energy generation and storage systems, and offer services related to its products. The Company's automotive segment includes the design, development, manufacturing, sales, and leasing of electric vehicles as well as sales of automotive regulatory credits. Additionally, the automotive segment is also comprised of services and other, which includes non-warranty after-sales vehicle services, sales of used vehicles, retail merchandise, sales by its acquired subsidiaries to third party customers, and vehicle insurance. Its energy generation and storage segment includes the design, manufacture, installation, sales and leasing of solar energy generation and energy storage products and related services and sales of solar energy systems incentives. Its automotive products include Model 3, Model Y, Model S and Model X. Powerwall and Megapack are its lithium-ion battery energy storage products.</v>
    <v>99290</v>
    <v>Nasdaq Stock Market</v>
    <v>XNAS</v>
    <v>XNAS</v>
    <v>13101 Harold Green Road, AUSTIN, TX, 78725 US</v>
    <v>224.34979999999999</v>
    <v>Automobiles &amp; Auto Parts</v>
    <v>Stock</v>
    <v>44859.999985370312</v>
    <v>193</v>
    <v>210</v>
    <v>696930730050</v>
    <v>TESLA, INC.</v>
    <v>TESLA, INC.</v>
    <v>210.1</v>
    <v>65.079099999999997</v>
    <v>211.25</v>
    <v>222.41499999999999</v>
    <v>217.17</v>
    <v>3133470000</v>
    <v>TSLA</v>
    <v>TESLA, INC. (XNAS:TSLA)</v>
    <v>96507870</v>
    <v>77596144</v>
    <v>2003</v>
  </rv>
  <rv s="2">
    <v>194</v>
  </rv>
  <rv s="0">
    <v>https://www.bing.com/financeapi/forcetrigger?t=a1tyrw&amp;q=XNYS%3aGM&amp;form=skydnc</v>
    <v>Learn more on Bing</v>
  </rv>
  <rv s="1">
    <v>en-CA</v>
    <v>a1tyrw</v>
    <v>268435456</v>
    <v>1</v>
    <v>Powered by Refinitiv</v>
    <v>0</v>
    <v>GENERAL MOTORS COMPANY (XNYS:GM)</v>
    <v>2</v>
    <v>3</v>
    <v>Finance</v>
    <v>4</v>
    <v>67.209999999999994</v>
    <v>30.33</v>
    <v>1.2739</v>
    <v>1.29</v>
    <v>-8.6460000000000009E-3</v>
    <v>3.6114E-2</v>
    <v>-0.32</v>
    <v>USD</v>
    <v>General Motors Company designs, builds and sells trucks, crossovers, cars and automobile parts and provides software-enabled services and subscriptions worldwide. The Company provides automotive financing services through its General Motors Financial Company, Inc. (GM Financial) segment. GM North America (GMNA) and GM International (GMI) develops, manufactures and/or markets vehicles under the Buick, Cadillac, Chevrolet and GMC brands. The Company's segments include GMNA, GMI, Cruise and GM Financial. Its Cruise segment is engaged in the development and commercialization of autonomous vehicle technology. It offers OnStar and connected services to approximately 22 million connected vehicles globally through subscription-based and complimentary services. It is also developing hydrogen fuel cell applications across transportation and industries, including mobile power generation, class seven/eight truck, locomotive, aerospace and marine applications.</v>
    <v>157000</v>
    <v>New York Stock Exchange</v>
    <v>XNYS</v>
    <v>XNYS</v>
    <v>300 Renaissance Center, DETROIT, MI, 48265-3000 US</v>
    <v>37.479999999999997</v>
    <v>Automobiles &amp; Auto Parts</v>
    <v>Stock</v>
    <v>44859.999944687501</v>
    <v>196</v>
    <v>35.83</v>
    <v>53962393490</v>
    <v>GENERAL MOTORS COMPANY</v>
    <v>GENERAL MOTORS COMPANY</v>
    <v>36.450000000000003</v>
    <v>6.7897999999999996</v>
    <v>35.72</v>
    <v>37.01</v>
    <v>36.69</v>
    <v>1458049000</v>
    <v>GM</v>
    <v>GENERAL MOTORS COMPANY (XNYS:GM)</v>
    <v>25537481</v>
    <v>15394793</v>
    <v>2009</v>
  </rv>
  <rv s="2">
    <v>197</v>
  </rv>
  <rv s="0">
    <v>https://www.bing.com/financeapi/forcetrigger?t=a1nytc&amp;q=XNAS%3aAVAV&amp;form=skydnc</v>
    <v>Learn more on Bing</v>
  </rv>
  <rv s="1">
    <v>en-CA</v>
    <v>a1nytc</v>
    <v>268435456</v>
    <v>1</v>
    <v>Powered by Refinitiv</v>
    <v>0</v>
    <v>AEROVIRONMENT, INC. (XNAS:AVAV)</v>
    <v>2</v>
    <v>3</v>
    <v>Finance</v>
    <v>4</v>
    <v>114.11</v>
    <v>52.03</v>
    <v>0.50580000000000003</v>
    <v>1.43</v>
    <v>3.8112E-2</v>
    <v>1.7162999999999998E-2</v>
    <v>3.23</v>
    <v>USD</v>
    <v>AeroVironment, Inc. designs, develops, produces, delivers and supports a technologically advanced portfolio of intelligent, multi-domain robotic systems and related services for government agencies and businesses. The Small Unmanned Aircraft Systems segment is focused primarily on products designed to operate reliably at very low altitudes in a range of environmental conditions. The Tactical Missile Systems segment focuses primarily on tube-launched aircraft that deploy with the push of a button. The Medium Unmanned Aircraft Systems focuses on designs, engineers, tools, and manufacturing of unmanned aerial and aircraft systems, including airborne platforms, payloads and payload integration, ground control systems, and ground support equipment. This segment also integrates flight autonomy solutions. The High Altitude Pseudo-Satellite Unmanned Aircraft Systems segment consists of the Company’s existing development of High Altitude Pseudo-Satellite systems in conjunction with SoftBank.</v>
    <v>1214</v>
    <v>Nasdaq Stock Market</v>
    <v>XNAS</v>
    <v>XNAS</v>
    <v>241 18Th Street South, Suite 415, ARLINGTON, VA, 22202 US</v>
    <v>86.834999999999994</v>
    <v>Aerospace &amp; Defense</v>
    <v>Stock</v>
    <v>44859.858246122654</v>
    <v>199</v>
    <v>83.37</v>
    <v>2117826225</v>
    <v>AEROVIRONMENT, INC.</v>
    <v>AEROVIRONMENT, INC.</v>
    <v>83.37</v>
    <v>1476.258</v>
    <v>83.32</v>
    <v>84.75</v>
    <v>87.98</v>
    <v>24989100</v>
    <v>AVAV</v>
    <v>AEROVIRONMENT, INC. (XNAS:AVAV)</v>
    <v>132825</v>
    <v>233288</v>
    <v>2006</v>
  </rv>
  <rv s="2">
    <v>200</v>
  </rv>
  <rv s="0">
    <v>http://en.wikipedia.org/wiki/BlackBerry_Limited</v>
    <v>Wikipedia</v>
  </rv>
  <rv s="3">
    <v>27</v>
    <v>202</v>
  </rv>
  <rv s="4">
    <v>9</v>
    <v>https://www.bing.com/th?id=AMMS_b5974b345a08eff62bdaa3cfc79e9995&amp;qlt=95</v>
    <v>203</v>
    <v>0</v>
    <v>https://www.bing.com/images/search?form=xlimg&amp;q=research+in+motion</v>
    <v>Image of BLACKBERRY LIMITED</v>
  </rv>
  <rv s="0">
    <v>https://www.bing.com/financeapi/forcetrigger?t=aawzbh&amp;q=XTSE%3aBB&amp;form=skydnc</v>
    <v>Learn more on Bing</v>
  </rv>
  <rv s="5">
    <v>en-CA</v>
    <v>aawzbh</v>
    <v>268435456</v>
    <v>1</v>
    <v>Powered by Refinitiv</v>
    <v>5</v>
    <v>BLACKBERRY LIMITED (XTSE:BB)</v>
    <v>7</v>
    <v>23</v>
    <v>Finance</v>
    <v>20</v>
    <v>15.41</v>
    <v>5.49</v>
    <v>1.2076</v>
    <v>0.16</v>
    <v>0</v>
    <v>2.6446000000000001E-2</v>
    <v>0</v>
    <v>CAD</v>
    <v>BlackBerry Limited is a Canada-based company that provides intelligent security software and services to enterprises and governments around the world. The Company operates through three segments: Cybersecurity, IoT, and Licensing and Other. The Cybersecurity segment consists of its BlackBerry Spark software platform, BlackBerry AtHoc, BlackBerry Alert and BlackBerry SecuSUITE. The IoT segment consists of BlackBerry QNX, BlackBerry Certicom, BlackBerry Radar, BlackBerry IVY and other Internet of things (IoT) applications. This segment includes software licenses, bundled with support, maintenance, and professional services. The Licensing and Other segment consists of its intellectual property arrangements and settlement awards and its service access fees (SAF) business. It leverages artificial intelligence (AI) and machine learning to deliver solutions in the areas of cybersecurity, safety and data privacy, endpoint security, endpoint management, encryption, and embedded systems.</v>
    <v>3325</v>
    <v>Toronto Stock Exchange</v>
    <v>XTSE</v>
    <v>XTSE</v>
    <v>2200 University Ave E, WATERLOO, ON, N2K 0A7 CA</v>
    <v>6.29</v>
    <v>204</v>
    <v>Software &amp; IT Services</v>
    <v>Stock</v>
    <v>44859.85900462963</v>
    <v>205</v>
    <v>6.04</v>
    <v>3585752739</v>
    <v>BLACKBERRY LIMITED</v>
    <v>BLACKBERRY LIMITED</v>
    <v>6.06</v>
    <v>1320.87</v>
    <v>6.05</v>
    <v>6.21</v>
    <v>6.21</v>
    <v>577415900</v>
    <v>BB</v>
    <v>BLACKBERRY LIMITED (XTSE:BB)</v>
    <v>1171457</v>
    <v>2356190</v>
    <v>1984</v>
  </rv>
  <rv s="2">
    <v>206</v>
  </rv>
  <rv s="0">
    <v>https://www.bing.com/financeapi/forcetrigger?t=a1moim&amp;q=XNYS%3aPRG&amp;form=skydnc</v>
    <v>Learn more on Bing</v>
  </rv>
  <rv s="9">
    <v>en-CA</v>
    <v>a1moim</v>
    <v>268435456</v>
    <v>1</v>
    <v>Powered by Refinitiv</v>
    <v>24</v>
    <v>PROG Holdings, Inc (XNYS:PRG)</v>
    <v>2</v>
    <v>25</v>
    <v>Finance</v>
    <v>4</v>
    <v>50.79</v>
    <v>12.11</v>
    <v>1.9073</v>
    <v>1.4</v>
    <v>1.6197E-2</v>
    <v>0.109375</v>
    <v>0.23</v>
    <v>USD</v>
    <v>PROG Holdings, Inc., formerly Aaron's Holdings Company, Inc., is a provider of lease-purchase solutions. The Company has more than 30,000 retail partner locations in approximately 46 states and the District of Columbia, including e-commerce merchants. The Company operates through Progressive Leasing and Vive segments. Progressive Leasing segment provides lease-purchase solutions. Vive segment offers a variety of financing programs originated through third-party federally insured banks to customers of participating merchants and, together with Progressive Leasing, allows the Company to provide retail partners with below-prime customers one source for financing and leasing transactions.</v>
    <v>2023</v>
    <v>New York Stock Exchange</v>
    <v>XNYS</v>
    <v>XNYS</v>
    <v>256 W. Data Drive, DRAPER, UT, 84020 US</v>
    <v>14.36</v>
    <v>Personal &amp; Household Products &amp; Services</v>
    <v>Stock</v>
    <v>44859.958333344533</v>
    <v>208</v>
    <v>13.015000000000001</v>
    <v>716661220</v>
    <v>PROG Holdings, Inc</v>
    <v>PROG Holdings, Inc</v>
    <v>13.19</v>
    <v>5.5327999999999999</v>
    <v>12.8</v>
    <v>14.2</v>
    <v>14.43</v>
    <v>50469100</v>
    <v>PRG</v>
    <v>PROG Holdings, Inc (XNYS:PRG)</v>
    <v>2047993</v>
    <v>707747</v>
  </rv>
  <rv s="2">
    <v>209</v>
  </rv>
  <rv s="0">
    <v>https://www.bing.com/financeapi/forcetrigger?t=aaygnm&amp;q=XTSE%3aGSY&amp;form=skydnc</v>
    <v>Learn more on Bing</v>
  </rv>
  <rv s="1">
    <v>en-CA</v>
    <v>aaygnm</v>
    <v>268435456</v>
    <v>1</v>
    <v>Powered by Refinitiv</v>
    <v>0</v>
    <v>goeasy Ltd. (XTSE:GSY)</v>
    <v>2</v>
    <v>19</v>
    <v>Finance</v>
    <v>20</v>
    <v>206.06</v>
    <v>95</v>
    <v>2.0926</v>
    <v>4.92</v>
    <v>0</v>
    <v>4.6063E-2</v>
    <v>0</v>
    <v>CAD</v>
    <v>goeasy Ltd. is a Canada-based company that provides non-prime leasing and lending services. The Company is engaged in providing loans and other financial services to consumers, and leasing household products to consumers. It operates in two segments: easyfinancial and easyhome. The easyfinancial segment lends out capital in the form of unsecured and secured consumer loans to non-prime borrowers. Its product offering consists of unsecured and real estate secured installment loans. The segment also includes the LendCare operating segment, which specializes in financing consumer purchases in the powersports, automotive, retail, healthcare, and home improvement categories. The easyhome segment provides leasing services for household furniture, appliances and electronics and unsecured lending products to retail consumers. The Company operated approximately 286 easyfinancial locations (including 6 kiosks within easyhome stores) and over 158 easyhome stores (including 34 franchises).</v>
    <v>2394</v>
    <v>Toronto Stock Exchange</v>
    <v>XTSE</v>
    <v>XTSE</v>
    <v>33 City Centre Dr Suite 510, MISSISSAUGA, ON, L5B 2N5 CA</v>
    <v>112</v>
    <v>Banking Services</v>
    <v>Stock</v>
    <v>44859.833333333336</v>
    <v>211</v>
    <v>106.54</v>
    <v>1772365168</v>
    <v>goeasy Ltd.</v>
    <v>goeasy Ltd.</v>
    <v>106.54</v>
    <v>10.24</v>
    <v>106.81</v>
    <v>111.73</v>
    <v>111.73</v>
    <v>15862930</v>
    <v>GSY</v>
    <v>goeasy Ltd. (XTSE:GSY)</v>
    <v>83035</v>
    <v>44380</v>
    <v>1990</v>
  </rv>
  <rv s="2">
    <v>212</v>
  </rv>
  <rv s="0">
    <v>https://www.bing.com/financeapi/forcetrigger?t=bwvep2&amp;q=XNAS%3aAFRM&amp;form=skydnc</v>
    <v>Learn more on Bing</v>
  </rv>
  <rv s="6">
    <v>en-CA</v>
    <v>bwvep2</v>
    <v>268435456</v>
    <v>1</v>
    <v>Powered by Refinitiv</v>
    <v>10</v>
    <v>Affirm Holdings Inc (XNAS:AFRM)</v>
    <v>2</v>
    <v>11</v>
    <v>Finance</v>
    <v>4</v>
    <v>176.65</v>
    <v>13.6401</v>
    <v>3.3929999999999998</v>
    <v>2.57</v>
    <v>-4.7042E-2</v>
    <v>0.14238200000000001</v>
    <v>-0.97</v>
    <v>USD</v>
    <v>Affirm Holdings, Inc. provides a platform for digital and mobile-first commerce. The Company’s platform comprises three elements: point-of-sale payment solutions for consumers, merchant commerce solutions, and a consumer-focused app. Its point-of-sale solutions allow consumers to pay for purchases in fixed amounts without deferred interest, late fees, or penalties. Its merchant commerce solutions offer commerce enablement, demand generation, and customer acquisition tools. Its consumer-focused app provides Affirm products, which consumers can use to manage payments, open a high-yield savings account, and access a personalized marketplace. The Company’s platform provides consumer and merchant features. Its consumer features include checkout, consumer borrowing, virtual card, affirm app and marketplace and Affirm debit+ card. Its merchant features include affirm at Checkout, merchant dashboard, analytics, client success support, affirm app, and returns management, among others.</v>
    <v>2552</v>
    <v>Nasdaq Stock Market</v>
    <v>XNAS</v>
    <v>XNAS</v>
    <v>650 California Street, SAN FRANCISCO, CA, 94108 US</v>
    <v>20.82</v>
    <v>Financial Technology (Fintech) &amp; Infrastructure</v>
    <v>Stock</v>
    <v>44859.999689999997</v>
    <v>214</v>
    <v>18.18</v>
    <v>5981773334</v>
    <v>Affirm Holdings Inc</v>
    <v>Affirm Holdings Inc</v>
    <v>18.18</v>
    <v>18.05</v>
    <v>20.62</v>
    <v>19.649999999999999</v>
    <v>290095700</v>
    <v>AFRM</v>
    <v>Affirm Holdings Inc (XNAS:AFRM)</v>
    <v>15168740</v>
    <v>10905590</v>
    <v>2019</v>
  </rv>
  <rv s="2">
    <v>215</v>
  </rv>
  <rv s="0">
    <v>https://www.bing.com/financeapi/forcetrigger?t=b13tur&amp;q=OTCM%3aAFTPF&amp;form=skydnc</v>
    <v>Learn more on Bing</v>
  </rv>
  <rv s="10">
    <v>en-CA</v>
    <v>b13tur</v>
    <v>268435456</v>
    <v>1</v>
    <v>1</v>
    <v>Powered by Refinitiv</v>
    <v>26</v>
    <v>AFTERPAY LIMITED (OTCM:AFTPF)</v>
    <v>2</v>
    <v>27</v>
    <v>Finance</v>
    <v>28</v>
    <v>124.75</v>
    <v>61.62</v>
    <v>2.8997000000000002</v>
    <v>-2.86</v>
    <v>-3.2621000000000004E-2</v>
    <v>-3.1168000000000001E-2</v>
    <v>-2.9</v>
    <v>USD</v>
    <v>Afterpay Limited is an Australia-based technology company. The Company's primary activities include technology-driven payments solutions for customers and merchants through its Afterpay and Pay Now services and businesses. The Company's segment includes : Afterpay Asia Pacific, Afterpay North America, Clearpay and Pay Now. Afterpay Asia Pacific segment comprises of Afterpay platforms in Australia, New Zealand, and Asia. Afterpay North America segment comprises of Afterpay platforms in the United States of America and Canada. Clearpay segment comprises of Clearpay platforms in the United Kingdom and Europe. Pay Now segment Comprises of mobility, health, and e-services. The Company offers both online and in-store purchases services to the customers.</v>
    <v>1300</v>
    <v>OTC Markets</v>
    <v>OTCM</v>
    <v>OTCM</v>
    <v>L 6 406 Collins St, MELBOURNE, VICTORIA, 3000 AU</v>
    <v>90.94</v>
    <v>Professional &amp; Commercial Services</v>
    <v>Stock</v>
    <v>44478.006944444445</v>
    <v>217</v>
    <v>88.9</v>
    <v>35677790000</v>
    <v>AFTERPAY LIMITED</v>
    <v>AFTERPAY LIMITED</v>
    <v>90.93</v>
    <v>91.76</v>
    <v>88.9</v>
    <v>86</v>
    <v>290086900</v>
    <v>AFTPF</v>
    <v>AFTERPAY LIMITED (OTCM:AFTPF)</v>
    <v>431</v>
    <v>2017</v>
  </rv>
  <rv s="2">
    <v>218</v>
  </rv>
  <rv s="0">
    <v>https://www.bing.com/financeapi/forcetrigger?t=btb3c7&amp;q=XNAS%3aKPLT&amp;form=skydnc</v>
    <v>Learn more on Bing</v>
  </rv>
  <rv s="1">
    <v>en-CA</v>
    <v>btb3c7</v>
    <v>268435456</v>
    <v>1</v>
    <v>Powered by Refinitiv</v>
    <v>0</v>
    <v>KATAPULT HOLDINGS, INC. (XNAS:KPLT)</v>
    <v>2</v>
    <v>3</v>
    <v>Finance</v>
    <v>4</v>
    <v>6.05</v>
    <v>0.77</v>
    <v>2.4630000000000001</v>
    <v>3.9800000000000002E-2</v>
    <v>-4.1562000000000002E-2</v>
    <v>4.3250999999999998E-2</v>
    <v>-3.9899999999999998E-2</v>
    <v>USD</v>
    <v>Katapult Holdings, Inc., formerly FinServ Acquisition Corp, is an electronic-commerce (e-commerce) focused financial technology company. The Company's lease-purchase platform, Katapult, is providing alternative solutions for retailers, consumers and non-prime consumer who may be unable to access traditional financing products to purchase everyday durable goods from its e-commerce merchant partners. Katapult provides technology that integrates seamlessly with online platforms, enabling the Company's retail partners to expand their customer base and transactions. It offers Instant approvals up to $3,500. The Company offers its platform to e-commerce an in-store merchants. It enables customers to make payments on a weekly, bi-weekly, semi-monthly or monthly basis, and it offers payment options, including allowing customers to make payments for their full renewal term, buyout, or return items if they have life cycle events, and others.</v>
    <v>130</v>
    <v>Nasdaq Stock Market</v>
    <v>XNAS</v>
    <v>XNAS</v>
    <v>1345 AVENUE OF THE AMERICAS 11TH FL, NEW YORK, NY, 10105 US</v>
    <v>0.99</v>
    <v>Software &amp; IT Services</v>
    <v>Stock</v>
    <v>44859.957221608594</v>
    <v>220</v>
    <v>0.92</v>
    <v>94443667</v>
    <v>KATAPULT HOLDINGS, INC.</v>
    <v>KATAPULT HOLDINGS, INC.</v>
    <v>0.92020000000000002</v>
    <v>20.572299999999998</v>
    <v>0.92020000000000002</v>
    <v>0.96</v>
    <v>0.92010000000000003</v>
    <v>98378820</v>
    <v>KPLT</v>
    <v>KATAPULT HOLDINGS, INC. (XNAS:KPLT)</v>
    <v>202217</v>
    <v>371451</v>
    <v>2019</v>
  </rv>
  <rv s="2">
    <v>221</v>
  </rv>
  <rv s="0">
    <v>https://www.bing.com/financeapi/forcetrigger?t=a22k9c&amp;q=XNAS%3aSBUX&amp;form=skydnc</v>
    <v>Learn more on Bing</v>
  </rv>
  <rv s="1">
    <v>en-CA</v>
    <v>a22k9c</v>
    <v>268435456</v>
    <v>1</v>
    <v>Powered by Refinitiv</v>
    <v>0</v>
    <v>STARBUCKS CORPORATION (XNAS:SBUX)</v>
    <v>2</v>
    <v>3</v>
    <v>Finance</v>
    <v>4</v>
    <v>117.8</v>
    <v>68.39</v>
    <v>0.86399999999999999</v>
    <v>1.45</v>
    <v>-1.0560000000000001E-3</v>
    <v>1.7311E-2</v>
    <v>-0.09</v>
    <v>USD</v>
    <v>Starbucks Corp is a roaster, marketer and retailer of specialty coffee with operations in approximately 84 markets around the world. The Company has over 34,300 Company-operated and licensed stores. It operates through three segments: North America, which includes the United States and Canada; International, which includes China, Japan, Asia Pacific, Europe, Middle East, Africa, Latin America and the Caribbean; and Channel Development. North America and International operations sell coffee and other beverages, complementary food, packaged coffees, single-serve coffee products and a focused selection of merchandise through Company-operated stores and licensed stores. The Channel Development segment is engaged in sale of packaged coffee, tea and ready-to-drink beverages to customers outside of its Company-operated and licensed stores. The Company also sells goods and services under various brands, including Teavana, Seattle’s Best Coffee, Ethos, Starbucks Reserve and Princi.</v>
    <v>383000</v>
    <v>Nasdaq Stock Market</v>
    <v>XNAS</v>
    <v>XNAS</v>
    <v>P O Box 34067, SEATTLE, WA, 98124-1067 US</v>
    <v>86</v>
    <v>Hotels &amp; Entertainment Services</v>
    <v>Stock</v>
    <v>44859.999937303124</v>
    <v>223</v>
    <v>84.1</v>
    <v>97769954000</v>
    <v>STARBUCKS CORPORATION</v>
    <v>STARBUCKS CORPORATION</v>
    <v>84.1</v>
    <v>23.5381</v>
    <v>83.76</v>
    <v>85.21</v>
    <v>85.12</v>
    <v>1147400000</v>
    <v>SBUX</v>
    <v>STARBUCKS CORPORATION (XNAS:SBUX)</v>
    <v>10674028</v>
    <v>7340741</v>
    <v>1985</v>
  </rv>
  <rv s="2">
    <v>224</v>
  </rv>
  <rv s="0">
    <v>https://www.bing.com/financeapi/forcetrigger?t=a1yjxm&amp;q=XNYS%3aNKE&amp;form=skydnc</v>
    <v>Learn more on Bing</v>
  </rv>
  <rv s="1">
    <v>en-CA</v>
    <v>a1yjxm</v>
    <v>268435456</v>
    <v>1</v>
    <v>Powered by Refinitiv</v>
    <v>0</v>
    <v>NIKE, INC. (XNYS:NKE)</v>
    <v>2</v>
    <v>3</v>
    <v>Finance</v>
    <v>4</v>
    <v>179.1</v>
    <v>82.22</v>
    <v>1.1063000000000001</v>
    <v>3.71</v>
    <v>-8.94E-3</v>
    <v>4.2153999999999997E-2</v>
    <v>-0.82</v>
    <v>USD</v>
    <v>NIKE, Inc. is engaged in the designing, marketing and distributing of athletic footwear, apparel, equipment and accessories and services for sports and fitness activities. The Company's operating segments include North America; Europe, Middle East &amp; Africa (EMEA); Greater China; and Asia Pacific &amp; Latin America (APLA). It sells a line of equipment and accessories under the NIKE Brand name, including bags, socks, sport balls, eyewear, timepieces, digital devices, bats, gloves, protective equipment and other equipment designed for sports activities. It also designs products specifically for the Jordan Brand and Converse. The Jordan Brand designs, distributes and licenses athletic and casual footwear, apparel and accessories predominantly focused on basketball performance and culture using the Jumpman trademark. It also designs, distributes and licenses casual sneakers, apparel and accessories under the Chuck Taylor, All Star, One Star, Star Chevron and Jack Purcell trademarks.</v>
    <v>79100</v>
    <v>New York Stock Exchange</v>
    <v>XNYS</v>
    <v>XNYS</v>
    <v>One Bowerman Dr, BEAVERTON, OR, 97005-6453 US</v>
    <v>91.93</v>
    <v>Textiles &amp; Apparel</v>
    <v>Stock</v>
    <v>44859.99992561328</v>
    <v>226</v>
    <v>87.89</v>
    <v>143504286520</v>
    <v>NIKE, INC.</v>
    <v>NIKE, INC.</v>
    <v>88.03</v>
    <v>24.966799999999999</v>
    <v>88.01</v>
    <v>91.72</v>
    <v>90.9</v>
    <v>1564591000</v>
    <v>NKE</v>
    <v>NIKE, INC. (XNYS:NKE)</v>
    <v>8639899</v>
    <v>11712886</v>
    <v>1969</v>
  </rv>
  <rv s="2">
    <v>227</v>
  </rv>
  <rv s="0">
    <v>https://www.bing.com/financeapi/forcetrigger?t=aayfu2&amp;q=XTSE%3aGOOS&amp;form=skydnc</v>
    <v>Learn more on Bing</v>
  </rv>
  <rv s="1">
    <v>en-CA</v>
    <v>aayfu2</v>
    <v>268435456</v>
    <v>1</v>
    <v>Powered by Refinitiv</v>
    <v>0</v>
    <v>CANADA GOOSE HOLDINGS INC. (XTSE:GOOS)</v>
    <v>2</v>
    <v>19</v>
    <v>Finance</v>
    <v>20</v>
    <v>67.33</v>
    <v>20.73</v>
    <v>1.4321999999999999</v>
    <v>1.08</v>
    <v>0</v>
    <v>4.6192999999999998E-2</v>
    <v>0</v>
    <v>CAD</v>
    <v>Canada Goose Holdings Inc. is a Canada-based lifestyle brand and a manufacturer of performance luxury apparel. The Company designs, manufactures, and sells performance luxury apparel for men, women, youth, children, and babies. The Company’s product offerings include various styles of parkas, lightweight down jackets, rainwear, wind wear, apparel, fleece, footwear, and accessories for the fall, winter, and spring seasons. The Company operates through three segments: DTC, Wholesale, and Other. Its DTC segment comprises sales through country-specific e-Commerce platforms and the Company-operated retail stores located in luxury shopping locations. Its Wholesale segment comprises sales made to a mix of retailers and international distributors. Its Other segment comprises of sales and costs not directly allocated to the DTC or Wholesale channels. The Company has its operations in Canada, the United States, Asia Pacific, Europe, the Middle East, Africa, and Latin America.</v>
    <v>4353</v>
    <v>Toronto Stock Exchange</v>
    <v>XTSE</v>
    <v>XTSE</v>
    <v>250 Bowie Avenue, TORONTO, ON, M6E 4Y2 CA</v>
    <v>24.66</v>
    <v>Textiles &amp; Apparel</v>
    <v>Stock</v>
    <v>44859.833333333336</v>
    <v>229</v>
    <v>23.35</v>
    <v>2462708000</v>
    <v>CANADA GOOSE HOLDINGS INC.</v>
    <v>CANADA GOOSE HOLDINGS INC.</v>
    <v>23.4</v>
    <v>28.89</v>
    <v>23.38</v>
    <v>24.46</v>
    <v>24.46</v>
    <v>105334000</v>
    <v>GOOS</v>
    <v>CANADA GOOSE HOLDINGS INC. (XTSE:GOOS)</v>
    <v>435064</v>
    <v>299140</v>
    <v>2013</v>
  </rv>
  <rv s="2">
    <v>230</v>
  </rv>
  <rv s="0">
    <v>https://www.bing.com/financeapi/forcetrigger?t=a1x6m7&amp;q=XNAS%3aLULU&amp;form=skydnc</v>
    <v>Learn more on Bing</v>
  </rv>
  <rv s="1">
    <v>en-CA</v>
    <v>a1x6m7</v>
    <v>268435456</v>
    <v>1</v>
    <v>Powered by Refinitiv</v>
    <v>0</v>
    <v>LULULEMON ATHLETICA INC. (XNAS:LULU)</v>
    <v>2</v>
    <v>3</v>
    <v>Finance</v>
    <v>4</v>
    <v>485.82499999999999</v>
    <v>251.51</v>
    <v>1.2647999999999999</v>
    <v>22.95</v>
    <v>-1.7589999999999998E-2</v>
    <v>7.7095999999999998E-2</v>
    <v>-5.64</v>
    <v>USD</v>
    <v>lululemon athletica inc. is a designer, distributor and retailer of lifestyle inspired athletic apparel and accessories. The Company’s segments include Company-operated stores and direct to consumer. Its apparel assortment includes items such as pants, shorts, tops, and jackets designed for a healthy lifestyle, including athletic activities such as yoga, running, training, and other sweaty pursuits. It also offers fitness-related accessories. Its Company-operated stores include approximately 579 stores in 17 countries. Its retail stores are located primarily on street locations, in lifestyle centers, and in malls. Its direct to consumer segment includes electronic commerce Website www.lululemon.com, other country and region-specific websites, and mobile applications, including mobile applications on in-store devices. The Company also conduct business through MIRROR, which offers in-home fitness through a workout platform; operate outlets and temporary locations.</v>
    <v>29000</v>
    <v>Nasdaq Stock Market</v>
    <v>XNAS</v>
    <v>XNAS</v>
    <v>1818 Cornwall Ave, 400 - 1818 CORNWALL AVENUE, VANCOUVER, BC, V6J 1C7 CA</v>
    <v>321.62</v>
    <v>Textiles &amp; Apparel</v>
    <v>Stock</v>
    <v>44859.999991758596</v>
    <v>232</v>
    <v>300.52999999999997</v>
    <v>37956090000</v>
    <v>LULULEMON ATHLETICA INC.</v>
    <v>LULULEMON ATHLETICA INC.</v>
    <v>301.85000000000002</v>
    <v>34.853099999999998</v>
    <v>297.68</v>
    <v>320.63</v>
    <v>314.99</v>
    <v>127506400</v>
    <v>LULU</v>
    <v>LULULEMON ATHLETICA INC. (XNAS:LULU)</v>
    <v>2266024</v>
    <v>1523518</v>
    <v>2005</v>
  </rv>
  <rv s="2">
    <v>233</v>
  </rv>
  <rv s="0">
    <v>https://www.bing.com/financeapi/forcetrigger?t=aawpcw&amp;q=XTSE%3aAC&amp;form=skydnc</v>
    <v>Learn more on Bing</v>
  </rv>
  <rv s="6">
    <v>en-CA</v>
    <v>aawpcw</v>
    <v>268435456</v>
    <v>1</v>
    <v>Powered by Refinitiv</v>
    <v>10</v>
    <v>AIR CANADA (XTSE:AC)</v>
    <v>2</v>
    <v>22</v>
    <v>Finance</v>
    <v>20</v>
    <v>26.8</v>
    <v>15.57</v>
    <v>2.4510999999999998</v>
    <v>-0.02</v>
    <v>0</v>
    <v>-1.0660000000000001E-3</v>
    <v>0</v>
    <v>CAD</v>
    <v>Air Canada is a Canada-based airline company. The Company is a provider of scheduled passenger services in the Canadian market, the Canada-United States (U.S.) transborder market and in the international market to and from Canada. It provides Aeroplan program which allows individuals to enroll as members and accumulate Aeroplan points through travel on Air Canada and select partners, as well as through the purchase of products and services from participating partners and suppliers. Its division Air Canada Cargo, is a global cargo service provider, offers cargo services on passenger flights and on all-cargo flights, including on dedicated freighter aircraft. Its tour operator, Air Canada Vacations, develops, markets and distributes vacation travel packages, operating in the outbound leisure travel market and inbound leisure travel market to destinations within Canada, and offers cruise packages in North America, Europe, and the Caribbean. Air Canada Rouge is its leisure carrier.</v>
    <v>28400</v>
    <v>Toronto Stock Exchange</v>
    <v>XTSE</v>
    <v>XTSE</v>
    <v>Air Canada Centre,ZIP YUL 1276, 7373 Cote-Vertu West, SAINT-LAURENT, QC, H4Y 1H4 CA</v>
    <v>18.920000000000002</v>
    <v>Passenger Transportation Services</v>
    <v>Stock</v>
    <v>44859.833333333336</v>
    <v>235</v>
    <v>18.59</v>
    <v>6726485001</v>
    <v>AIR CANADA</v>
    <v>AIR CANADA</v>
    <v>18.59</v>
    <v>18.760000000000002</v>
    <v>18.739999999999998</v>
    <v>18.739999999999998</v>
    <v>358937300</v>
    <v>AC</v>
    <v>AIR CANADA (XTSE:AC)</v>
    <v>1442773</v>
    <v>2200130</v>
    <v>2006</v>
  </rv>
  <rv s="2">
    <v>236</v>
  </rv>
  <rv s="0">
    <v>http://en.wikipedia.org/wiki/The_Walt_Disney_Company</v>
    <v>Wikipedia</v>
  </rv>
  <rv s="3">
    <v>27</v>
    <v>238</v>
  </rv>
  <rv s="4">
    <v>9</v>
    <v>https://www.bing.com/th?id=AMMS_0aa288ba528f6f45e3de87d97e250136&amp;qlt=95</v>
    <v>239</v>
    <v>0</v>
    <v>https://www.bing.com/images/search?form=xlimg&amp;q=the+walt+disney+company</v>
    <v>Image of THE WALT DISNEY COMPANY</v>
  </rv>
  <rv s="0">
    <v>https://www.bing.com/financeapi/forcetrigger?t=a1r2z2&amp;q=XNYS%3aDIS&amp;form=skydnc</v>
    <v>Learn more on Bing</v>
  </rv>
  <rv s="5">
    <v>en-CA</v>
    <v>a1r2z2</v>
    <v>268435456</v>
    <v>1</v>
    <v>Powered by Refinitiv</v>
    <v>5</v>
    <v>THE WALT DISNEY COMPANY (XNYS:DIS)</v>
    <v>7</v>
    <v>8</v>
    <v>Finance</v>
    <v>4</v>
    <v>179.25</v>
    <v>90.23</v>
    <v>1.2371000000000001</v>
    <v>2.64</v>
    <v>-1.3031999999999998E-2</v>
    <v>2.5954000000000001E-2</v>
    <v>-1.36</v>
    <v>USD</v>
    <v>The Walt Disney Company is a worldwide entertainment company. The Company’s segments include Disney Media and Entertainment Distribution (DMED), and Disney Parks, Experiences and Products (DPEP). The DMED segment encompasses the Company’s global film and episodic television content production and distribution activities. The Company’s DMED’s lines of business consists of Linear Networks, Direct-to-Consumer and Content Sales/Licensing. The Company’s DPEP segment business consists of sale of admissions to theme parks, the sale of food, beverage and merchandise at its theme parks and resorts, sales of cruise vacations, sales and rentals of vacation club properties, royalties from licensing its intellectual properties (IP) for use on consumer goods and the sale of branded merchandise. The Content Sales/Licensing business consist of selling film and episodic television content in the television and subscription video-on-demand (TV/SVOD) and home entertainment markets.</v>
    <v>190000</v>
    <v>New York Stock Exchange</v>
    <v>XNYS</v>
    <v>XNYS</v>
    <v>500 S Buena Vista St, BURBANK, CA, 91521-0001 US</v>
    <v>104.7299</v>
    <v>240</v>
    <v>Media &amp; Publishing</v>
    <v>Stock</v>
    <v>44859.999488101559</v>
    <v>241</v>
    <v>102.03</v>
    <v>190254332880</v>
    <v>THE WALT DISNEY COMPANY</v>
    <v>THE WALT DISNEY COMPANY</v>
    <v>102.16</v>
    <v>58.234200000000001</v>
    <v>101.72</v>
    <v>104.36</v>
    <v>103</v>
    <v>1823058000</v>
    <v>DIS</v>
    <v>THE WALT DISNEY COMPANY (XNYS:DIS)</v>
    <v>7687535</v>
    <v>9441959</v>
    <v>2018</v>
  </rv>
  <rv s="2">
    <v>242</v>
  </rv>
  <rv s="0">
    <v>https://www.bing.com/financeapi/forcetrigger?t=a1uqpr&amp;q=XNYS%3aHLT&amp;form=skydnc</v>
    <v>Learn more on Bing</v>
  </rv>
  <rv s="1">
    <v>en-CA</v>
    <v>a1uqpr</v>
    <v>268435456</v>
    <v>1</v>
    <v>Powered by Refinitiv</v>
    <v>0</v>
    <v>HILTON WORLDWIDE HOLDINGS INC. (XNYS:HLT)</v>
    <v>2</v>
    <v>3</v>
    <v>Finance</v>
    <v>4</v>
    <v>167.99</v>
    <v>108.41</v>
    <v>1.2083999999999999</v>
    <v>0.01</v>
    <v>2.0360999999999997E-2</v>
    <v>7.6550000000000004E-5</v>
    <v>2.66</v>
    <v>USD</v>
    <v>Hilton Worldwide Holdings Inc. is a hospitality company. The Company is engaged in managing, franchising, owning and leasing hotels and resorts, and licensing its brands and intellectual property. The Company manages, franchises, owns or leases approximately 6,837 properties comprising approximately 1,074,791 rooms in over122 countries and territories. Its brands include Waldorf Astoria Hotels &amp; Resorts, LXR Hotels &amp; Resorts and Conrad Hotels &amp; Resorts, Canopy by Hilton, others. It operates through two segments: management and franchise, and ownership. The management and franchise segment include all the hotels, which the Company manages for third-party owners, as well as all franchised hotels operated or managed by someone other than the Company. The management and franchise segment include approximately 745 managed hotels and over 5,978 franchised hotels consisting of approximately 1,047,262 rooms. The ownership segment includes approximately 54 properties totaling over 18,151 rooms.</v>
    <v>142000</v>
    <v>New York Stock Exchange</v>
    <v>XNYS</v>
    <v>XNYS</v>
    <v>7930 Jones Branch Dr Ste 1100, MCLEAN, VA, 22102 US</v>
    <v>132.41</v>
    <v>Hotels &amp; Entertainment Services</v>
    <v>Stock</v>
    <v>44859.995008135935</v>
    <v>244</v>
    <v>129.13</v>
    <v>35832905936</v>
    <v>HILTON WORLDWIDE HOLDINGS INC.</v>
    <v>HILTON WORLDWIDE HOLDINGS INC.</v>
    <v>130.51</v>
    <v>37.918799999999997</v>
    <v>130.63</v>
    <v>130.63999999999999</v>
    <v>133.30000000000001</v>
    <v>274287400</v>
    <v>HLT</v>
    <v>HILTON WORLDWIDE HOLDINGS INC. (XNYS:HLT)</v>
    <v>2648522</v>
    <v>1986831</v>
    <v>2010</v>
  </rv>
  <rv s="2">
    <v>245</v>
  </rv>
  <rv s="0">
    <v>https://www.bing.com/financeapi/forcetrigger?t=bnegf2&amp;q=XNYS%3aYETI&amp;form=skydnc</v>
    <v>Learn more on Bing</v>
  </rv>
  <rv s="1">
    <v>en-CA</v>
    <v>bnegf2</v>
    <v>268435456</v>
    <v>1</v>
    <v>Powered by Refinitiv</v>
    <v>0</v>
    <v>YETI HOLDINGS, INC. (XNYS:YETI)</v>
    <v>2</v>
    <v>3</v>
    <v>Finance</v>
    <v>4</v>
    <v>108.82</v>
    <v>27.86</v>
    <v>2.4620000000000002</v>
    <v>1.72</v>
    <v>-4.5412000000000001E-2</v>
    <v>5.7352E-2</v>
    <v>-1.44</v>
    <v>USD</v>
    <v>YETI Holdings, Inc. is a designer, retailer, and distributor of outdoor products. The Company's product portfolio is comprised of three categories: Coolers &amp; Equipment; Drinkware, and Other. Its Coolers &amp; Equipment family is comprised of hard coolers, soft coolers, cargo, bags, outdoor living, and associated accessories. It offers five product ranges within its hard cooler category: YETI Tundra, YETI Roadie, Tundra Haul, YETI TANK and YETI Silo 6G. The Hopper soft cooler product line includes Hopper M30, Hopper BackFlip, Hopper Flip, Daytrip Lunch Bag and Daytrip Lunch Box. Its Drinkware product family consists of Rambler Colster, Rambler Lowball, Rambler Wine Tumbler, Rambler Stackable Pints, Rambler Mugs, Rambler Tumblers, Rambler Bottles, and Rambler Jug. In Other products, it offers an array of YETI-branded gear, such as hats, shirts, bottle openers and ice substitutes. It operates in the Unites States, Canada, Australia, New Zealand, Europe, Hong Kong, China, Singapore and Japan.</v>
    <v>823</v>
    <v>New York Stock Exchange</v>
    <v>XNYS</v>
    <v>XNYS</v>
    <v>7601 Southwest Pkwy, AUSTIN, TX, 78735-8989 US</v>
    <v>31.82</v>
    <v>Leisure Products</v>
    <v>Stock</v>
    <v>44859.958333367969</v>
    <v>247</v>
    <v>30.29</v>
    <v>2732635252</v>
    <v>YETI HOLDINGS, INC.</v>
    <v>YETI HOLDINGS, INC.</v>
    <v>30.29</v>
    <v>13.380699999999999</v>
    <v>29.99</v>
    <v>31.71</v>
    <v>30.27</v>
    <v>86175820</v>
    <v>YETI</v>
    <v>YETI HOLDINGS, INC. (XNYS:YETI)</v>
    <v>981711</v>
    <v>1566236</v>
    <v>2012</v>
  </rv>
  <rv s="2">
    <v>248</v>
  </rv>
  <rv s="0">
    <v>https://www.bing.com/financeapi/forcetrigger?t=a1tth7&amp;q=XNYS%3aGGG&amp;form=skydnc</v>
    <v>Learn more on Bing</v>
  </rv>
  <rv s="1">
    <v>en-CA</v>
    <v>a1tth7</v>
    <v>268435456</v>
    <v>1</v>
    <v>Powered by Refinitiv</v>
    <v>0</v>
    <v>GRACO INC (XNYS:GGG)</v>
    <v>2</v>
    <v>3</v>
    <v>Finance</v>
    <v>4</v>
    <v>81.09</v>
    <v>56.48</v>
    <v>0.76880000000000004</v>
    <v>1.34</v>
    <v>-1.5983000000000001E-2</v>
    <v>2.1026E-2</v>
    <v>-1.04</v>
    <v>USD</v>
    <v>Graco Inc. is a global manufacturing company. The Company supplies technology and expertise for the management of fluids and coatings in industrial and commercial applications. The Company's Industrial segment includes its Industrial Products and Applied Fluid Technologies divisions. This segment markets equipment and solutions for moving and applying paints, coatings, sealants, adhesives and other fluids. Its Process segment includes its Process, Oil and Natural Gas, and Lubrication divisions. This segment markets pumps, valves, meters, and accessories to move and dispense chemicals, oil and natural gas, water, wastewater, petroleum, food, lubricants, and other fluids. Its Contractor segment offers sprayers that apply paint to walls and other structures, with product models for users ranging from do-it-yourself homeowners to professional painting contractors. This segment markets sprayers for architectural coatings for painting, corrosion control, texture, and line striping.</v>
    <v>3800</v>
    <v>New York Stock Exchange</v>
    <v>XNYS</v>
    <v>XNYS</v>
    <v>88 11th Ave NE, MINNEAPOLIS, MN, 55413-1829 US</v>
    <v>65.09</v>
    <v>Machinery, Equipment &amp; Components</v>
    <v>Stock</v>
    <v>44859.959941967187</v>
    <v>250</v>
    <v>63.49</v>
    <v>10777730000</v>
    <v>GRACO INC</v>
    <v>GRACO INC</v>
    <v>63.61</v>
    <v>25.104299999999999</v>
    <v>63.73</v>
    <v>65.069999999999993</v>
    <v>64.03</v>
    <v>169115600</v>
    <v>GGG</v>
    <v>GRACO INC (XNYS:GGG)</v>
    <v>827702</v>
    <v>754457</v>
    <v>1947</v>
  </rv>
  <rv s="2">
    <v>251</v>
  </rv>
  <rv s="0">
    <v>https://www.bing.com/financeapi/forcetrigger?t=bnmq52&amp;q=XNYS%3aLIN&amp;form=skydnc</v>
    <v>Learn more on Bing</v>
  </rv>
  <rv s="1">
    <v>en-CA</v>
    <v>bnmq52</v>
    <v>268435456</v>
    <v>1</v>
    <v>Powered by Refinitiv</v>
    <v>0</v>
    <v>LINDE PUBLIC LIMITED COMPANY (XNYS:LIN)</v>
    <v>2</v>
    <v>3</v>
    <v>Finance</v>
    <v>4</v>
    <v>352.18</v>
    <v>262.47000000000003</v>
    <v>0.85799999999999998</v>
    <v>10.06</v>
    <v>-1.7975000000000001E-2</v>
    <v>3.6171000000000002E-2</v>
    <v>-5.18</v>
    <v>USD</v>
    <v>Linde plc is an industrial gas company. The Company's primary products in its industrial gases business are atmospheric gases (oxygen, nitrogen, argon, and rare gases) and process gases (carbon dioxide, helium, hydrogen, electronic gases, specialty gases, and acetylene). The Company's segments include Americas; Europe/Middle East/Africa (EMEA); Asia/South Pacific (APAC); and Engineering. Its Engineering business designs and manufactures equipment for air separation and other industrial gas applications specifically for end customers and is managed on a worldwide basis operating in all geographic segments. The Company also designs and builds equipment that produces industrial gases and offers customers a range of gas production and processing services, such as olefin plants, natural gas plants, air separation plants, hydrogen and synthesis gas plants and other types of plants. The Company's industrial gases are distributed to various end-markets within a regional segment.</v>
    <v>72438</v>
    <v>New York Stock Exchange</v>
    <v>XNYS</v>
    <v>XNYS</v>
    <v>Forge, 43 Church Street West, GUILDFORD, SURREY, GU216HT GB</v>
    <v>288.24</v>
    <v>Chemicals</v>
    <v>Stock</v>
    <v>44859.958333356248</v>
    <v>253</v>
    <v>278.10000000000002</v>
    <v>143618998608</v>
    <v>LINDE PUBLIC LIMITED COMPANY</v>
    <v>LINDE PUBLIC LIMITED COMPANY</v>
    <v>278.33999999999997</v>
    <v>40.337400000000002</v>
    <v>278.12</v>
    <v>288.18</v>
    <v>283</v>
    <v>498365600</v>
    <v>LIN</v>
    <v>LINDE PUBLIC LIMITED COMPANY (XNYS:LIN)</v>
    <v>2999567</v>
    <v>1881273</v>
    <v>2017</v>
  </rv>
  <rv s="2">
    <v>254</v>
  </rv>
  <rv s="0">
    <v>https://www.bing.com/financeapi/forcetrigger?t=a1ngur&amp;q=XNYS%3aAMT&amp;form=skydnc</v>
    <v>Learn more on Bing</v>
  </rv>
  <rv s="1">
    <v>en-CA</v>
    <v>a1ngur</v>
    <v>268435456</v>
    <v>1</v>
    <v>Powered by Refinitiv</v>
    <v>0</v>
    <v>AMERICAN TOWER CORPORATION (XNYS:AMT)</v>
    <v>2</v>
    <v>3</v>
    <v>Finance</v>
    <v>4</v>
    <v>294.39999999999998</v>
    <v>178.17</v>
    <v>0.50690000000000002</v>
    <v>10.130000000000001</v>
    <v>-2.7109999999999999E-3</v>
    <v>5.4639E-2</v>
    <v>-0.53</v>
    <v>USD</v>
    <v>American Tower Corporation is a holding company. The Company operates as a real estate investment trust (REIT), which owns, operates and develops multitenant communications real estate. Its segments include U.S. &amp; Canada property, Asia-Pacific property, Africa property, Europe property and Latin America property. Its U.S. &amp; Canada property segment includes operations in Canada and the United States. Its Asia-Pacific property segment includes operations in Australia, Bangladesh, India and the Philippines. The Africa property segment includes operations in Burkina Faso, Ghana, Kenya, Niger, Nigeria, South Africa and Uganda. The Europe property segment includes operations in France, Germany, Spain and Poland. The Latin America property segment includes operations in Argentina, Brazil, Chile, Colombia, Costa Rica, Mexico, Paraguay and Peru. It also offers data center property operations in the United States. The Company offers tower-related services in the United States.</v>
    <v>6378</v>
    <v>New York Stock Exchange</v>
    <v>XNYS</v>
    <v>XNYS</v>
    <v>116 Huntington Ave, BOSTON, MA, 02116-5749 US</v>
    <v>196.05</v>
    <v>Residential &amp; Commercial REIT</v>
    <v>Stock</v>
    <v>44859.976212997659</v>
    <v>256</v>
    <v>185.92</v>
    <v>91036206557</v>
    <v>AMERICAN TOWER CORPORATION</v>
    <v>AMERICAN TOWER CORPORATION</v>
    <v>185.96</v>
    <v>30.474599999999999</v>
    <v>185.4</v>
    <v>195.53</v>
    <v>195</v>
    <v>465586900</v>
    <v>AMT</v>
    <v>AMERICAN TOWER CORPORATION (XNYS:AMT)</v>
    <v>2495243</v>
    <v>2293365</v>
    <v>1996</v>
  </rv>
  <rv s="2">
    <v>257</v>
  </rv>
  <rv s="0">
    <v>https://www.bing.com/financeapi/forcetrigger?t=a25f6h&amp;q=XNYS%3aVMC&amp;form=skydnc</v>
    <v>Learn more on Bing</v>
  </rv>
  <rv s="1">
    <v>en-CA</v>
    <v>a25f6h</v>
    <v>268435456</v>
    <v>1</v>
    <v>Powered by Refinitiv</v>
    <v>0</v>
    <v>VULCAN MATERIALS COMPANY (XNYS:VMC)</v>
    <v>2</v>
    <v>3</v>
    <v>Finance</v>
    <v>4</v>
    <v>213.65</v>
    <v>137.54</v>
    <v>0.76449999999999996</v>
    <v>6.36</v>
    <v>-4.0670000000000003E-3</v>
    <v>4.079E-2</v>
    <v>-0.66</v>
    <v>USD</v>
    <v>Vulcan Materials Company is a supplier of construction aggregates and a producer of asphalt mix and ready-mixed concrete. The Company operates through four segments: Aggregates, Asphalt, Concrete and Calcium. The Aggregates segment produces and sells aggregates, such as crushed stone, sand and gravel, sand, and other aggregates, and related products and services. The Asphalt segment produces and sells asphalt mix in Alabama, Arizona, California, New Mexico, Tennessee and Texas, and includes asphalt construction in Alabama, Tennessee and Texas. The Concrete segment produces and sells ready-mixed concrete in California, Maryland, New Jersey, New York, Oklahoma, Pennsylvania, Texas and Virginia. The Calcium segment consists of a Florida facility that mines, produces and sells calcium products for the animal feed, plastics and water treatment industries. It sells aggregates that are used as ballast for the construction and maintenance of railroad tracks.</v>
    <v>11437</v>
    <v>New York Stock Exchange</v>
    <v>XNYS</v>
    <v>XNYS</v>
    <v>1200 Urban Center Dr, BIRMINGHAM, AL, 35242 US</v>
    <v>163.01</v>
    <v>Construction Materials</v>
    <v>Stock</v>
    <v>44859.958333344533</v>
    <v>259</v>
    <v>155.07</v>
    <v>21567174280</v>
    <v>VULCAN MATERIALS COMPANY</v>
    <v>VULCAN MATERIALS COMPANY</v>
    <v>155.07</v>
    <v>34.153700000000001</v>
    <v>155.91999999999999</v>
    <v>162.28</v>
    <v>161.62</v>
    <v>132901000</v>
    <v>VMC</v>
    <v>VULCAN MATERIALS COMPANY (XNYS:VMC)</v>
    <v>735706</v>
    <v>742335</v>
    <v>2007</v>
  </rv>
  <rv s="2">
    <v>260</v>
  </rv>
  <rv s="0">
    <v>https://www.bing.com/financeapi/forcetrigger?t=a1yvar&amp;q=XNAS%3aNVEE&amp;form=skydnc</v>
    <v>Learn more on Bing</v>
  </rv>
  <rv s="1">
    <v>en-CA</v>
    <v>a1yvar</v>
    <v>268435456</v>
    <v>1</v>
    <v>Powered by Refinitiv</v>
    <v>0</v>
    <v>NV5 Global, Inc. (XNAS:NVEE)</v>
    <v>2</v>
    <v>3</v>
    <v>Finance</v>
    <v>4</v>
    <v>147.27000000000001</v>
    <v>97.58</v>
    <v>1.0865</v>
    <v>1.37</v>
    <v>0</v>
    <v>9.7470000000000005E-3</v>
    <v>0</v>
    <v>USD</v>
    <v>NV5 Global, Inc. is a provider of professional and technical engineering and consulting solutions. The Company offers its solutions to public and private sector clients in the infrastructure, utility services, construction, real estate, and environmental markets. The Company operates through three segments: Infrastructure (INF), Building, Technology &amp; Sciences (BTS) and Geospatial Solutions (GEO). Its INF segment includes the Company's engineering, civil program management, utility services, and construction quality assurance, testing and inspection practices. Its BTS segment includes the Company's environmental health sciences, buildings and program management, and Mechanical, Electrical, and Plumbing (MEP) and technology engineering practices. Its GEO segment includes the Company's geospatial solution practices. The Company also has an interest in KMK Technologies, LLC., which is a provider of technology design and consulting services.</v>
    <v>3428</v>
    <v>Nasdaq Stock Market</v>
    <v>XNAS</v>
    <v>XNAS</v>
    <v>200 S Park Rd Ste 350, HOLLYWOOD, FL, 33021-8798 US</v>
    <v>144.38249999999999</v>
    <v>Construction &amp; Engineering</v>
    <v>Stock</v>
    <v>44859.834411492971</v>
    <v>262</v>
    <v>139.25</v>
    <v>2185359000</v>
    <v>NV5 Global, Inc.</v>
    <v>NV5 Global, Inc.</v>
    <v>139.57</v>
    <v>39.5349</v>
    <v>140.55000000000001</v>
    <v>141.91999999999999</v>
    <v>141.91999999999999</v>
    <v>15548630</v>
    <v>NVEE</v>
    <v>NV5 Global, Inc. (XNAS:NVEE)</v>
    <v>45861</v>
    <v>48846</v>
    <v>2011</v>
  </rv>
  <rv s="2">
    <v>263</v>
  </rv>
  <rv s="0">
    <v>https://www.bing.com/financeapi/forcetrigger?t=a1mwoc&amp;q=XNAS%3aADSK&amp;form=skydnc</v>
    <v>Learn more on Bing</v>
  </rv>
  <rv s="1">
    <v>en-CA</v>
    <v>a1mwoc</v>
    <v>268435456</v>
    <v>1</v>
    <v>Powered by Refinitiv</v>
    <v>0</v>
    <v>AUTODESK, INC. (XNAS:ADSK)</v>
    <v>2</v>
    <v>3</v>
    <v>Finance</v>
    <v>4</v>
    <v>335.48</v>
    <v>163.19999999999999</v>
    <v>1.4872000000000001</v>
    <v>8.6300000000000008</v>
    <v>-9.1319999999999995E-3</v>
    <v>4.1673000000000002E-2</v>
    <v>-1.97</v>
    <v>USD</v>
    <v>Autodesk, Inc. is a three-dimensional (3D) design, engineering, and entertainment software and services provider. The Company's product offerings are focused in four primary product families: architecture, engineering and construction (AEC), AutoCAD and AutoCAD LT, manufacturing (MFG), and media and entertainment (M&amp;E). Its products include AutoCAD Civil 3D, AutoCAD Civil 3D, architecture, engineering and construction collection, Autodesk Build, Revit, AutoCAD, AutoCAD LT, computer-aided manufacturing (CAM) Solutions, Fusion 360, product design and manufacturing collection, Inventor, Vault, media and entertainment collection, Maya, ShotGrid and 3ds Max. It serves customers in architecture, engineering, and construction; product design and manufacturing, and digital media and entertainment industries. The Company’s product development and manufacturing software provide manufacturers in automotive, transportation, industrial machinery, consumer products and building product industries.</v>
    <v>12600</v>
    <v>Nasdaq Stock Market</v>
    <v>XNAS</v>
    <v>XNAS</v>
    <v>One Market, Ste. 400., SAN FRANCISCO, CA, 94105 US</v>
    <v>216.01</v>
    <v>Software &amp; IT Services</v>
    <v>Stock</v>
    <v>44859.999696782033</v>
    <v>265</v>
    <v>208.92</v>
    <v>46565125052</v>
    <v>AUTODESK, INC.</v>
    <v>AUTODESK, INC.</v>
    <v>209.5</v>
    <v>81.619900000000001</v>
    <v>207.09</v>
    <v>215.72</v>
    <v>213.75</v>
    <v>215859100</v>
    <v>ADSK</v>
    <v>AUTODESK, INC. (XNAS:ADSK)</v>
    <v>1237436</v>
    <v>1344706</v>
    <v>1994</v>
  </rv>
  <rv s="2">
    <v>266</v>
  </rv>
  <rv s="0">
    <v>https://www.bing.com/financeapi/forcetrigger?t=aay3cw&amp;q=XTSE%3aERO&amp;form=skydnc</v>
    <v>Learn more on Bing</v>
  </rv>
  <rv s="1">
    <v>en-CA</v>
    <v>aay3cw</v>
    <v>268435456</v>
    <v>1</v>
    <v>Powered by Refinitiv</v>
    <v>0</v>
    <v>Ero Copper Corp. (XTSE:ERO)</v>
    <v>2</v>
    <v>19</v>
    <v>Finance</v>
    <v>20</v>
    <v>25.5</v>
    <v>10.54</v>
    <v>2.2444000000000002</v>
    <v>0.06</v>
    <v>0</v>
    <v>3.8890000000000001E-3</v>
    <v>0</v>
    <v>CAD</v>
    <v>Ero Copper Corp is a Canada-based base metals mining company. The Company’s operations include The MCSA Mining Complex (MCSA), Boa Esperanca copper Project and the NX Gold Mining Complex. The MCSA is located in northeastern Bahia State, Brazil, which is approximately 385 kilometers north-northwest of the capital city of Salvador. The MCSA consists of integrated mining operations and processing facilities, including the Pilar and Vermelhos underground mines, and the Surubim open pit mine. The Boa Esperanca copper Project is located within the Carajas Mineral Province, southeastern Para State, Brazil, which is approximately 40 kilometers southwest of the town of Tucuma. The NX Gold Mining Complex is located in southeastern Mato Grosso State, Brazil, which is approximately 670 kilometers east of the capital city of Cuiaba. The NX Gold Mining Complex consists of fully integrated underground mining and processing facilities.</v>
    <v>2745</v>
    <v>Toronto Stock Exchange</v>
    <v>XTSE</v>
    <v>XTSE</v>
    <v>625 Howe St Suite 1050, VANCOUVER, BC, V6C 2T6 CA</v>
    <v>15.53</v>
    <v>Metals &amp; Mining</v>
    <v>Stock</v>
    <v>44859.833333333336</v>
    <v>268</v>
    <v>15.05</v>
    <v>1405514581</v>
    <v>Ero Copper Corp.</v>
    <v>Ero Copper Corp.</v>
    <v>15.34</v>
    <v>6.76</v>
    <v>15.43</v>
    <v>15.49</v>
    <v>15.49</v>
    <v>90736900</v>
    <v>ERO</v>
    <v>Ero Copper Corp. (XTSE:ERO)</v>
    <v>78203</v>
    <v>221980</v>
    <v>2016</v>
  </rv>
  <rv s="2">
    <v>269</v>
  </rv>
  <rv s="0">
    <v>https://www.bing.com/financeapi/forcetrigger?t=aaxjz2&amp;q=XTSE%3aCMMC&amp;form=skydnc</v>
    <v>Learn more on Bing</v>
  </rv>
  <rv s="1">
    <v>en-CA</v>
    <v>aaxjz2</v>
    <v>268435456</v>
    <v>1</v>
    <v>Powered by Refinitiv</v>
    <v>0</v>
    <v>Copper Mountain Mining Corporation (XTSE:CMMC)</v>
    <v>2</v>
    <v>19</v>
    <v>Finance</v>
    <v>20</v>
    <v>4.38</v>
    <v>1.23</v>
    <v>2.7743000000000002</v>
    <v>-0.02</v>
    <v>0</v>
    <v>-1.1172999999999999E-2</v>
    <v>0</v>
    <v>CAD</v>
    <v>Copper Mountain Mining Corp is a copper-gold producing company, which is engaged in the business of mineral exploration, development and operation of mineral deposits. The Company’s projects include Copper Mountain Mine, Eva Copper project, and Cameron Copper project. Copper Mountain mine is located approximately 20 kilometers (km) south of Princeton, British Columbia and 300 km east of the port of Vancouver. Copper Mountain mineral claims cover approximately 18,000 acres and consist primarily of 135 crown grants, 176 mineral claims, and 14 mining leases. The Eva Copper project is located 75 km from the town of Cloncurry and 95 km northeast of Mt Isa in northwest Queensland, Australia. The Cameron Copper project is an exploration project located approximately 30 km south of its Eva Copper project, in Queensland, Australia. It lies within the Company’s large prospective mineralized land package of approximately 2100 square kilometers within the Mount Isa Inlier region of Queensland.</v>
    <v>567</v>
    <v>Toronto Stock Exchange</v>
    <v>XTSE</v>
    <v>XTSE</v>
    <v>1700 - 700 West Pender Street, VANCOUVER, BC, V6C 1G8 CA</v>
    <v>1.83</v>
    <v>Metals &amp; Mining</v>
    <v>Stock</v>
    <v>44859.833333333336</v>
    <v>271</v>
    <v>1.74</v>
    <v>372343572</v>
    <v>Copper Mountain Mining Corporation</v>
    <v>Copper Mountain Mining Corporation</v>
    <v>1.75</v>
    <v>12.54</v>
    <v>1.79</v>
    <v>1.77</v>
    <v>1.77</v>
    <v>210363600</v>
    <v>CMMC</v>
    <v>Copper Mountain Mining Corporation (XTSE:CMMC)</v>
    <v>1163891</v>
    <v>1247140</v>
    <v>2006</v>
  </rv>
  <rv s="2">
    <v>272</v>
  </rv>
  <rv s="0">
    <v>https://www.bing.com/financeapi/forcetrigger?t=aaxmoc&amp;q=XTSE%3aCS&amp;form=skydnc</v>
    <v>Learn more on Bing</v>
  </rv>
  <rv s="1">
    <v>en-CA</v>
    <v>aaxmoc</v>
    <v>268435456</v>
    <v>1</v>
    <v>Powered by Refinitiv</v>
    <v>0</v>
    <v>CAPSTONE COPPER CORP (XTSE:CS)</v>
    <v>2</v>
    <v>19</v>
    <v>Finance</v>
    <v>20</v>
    <v>7.79</v>
    <v>2.25</v>
    <v>2.0291999999999999</v>
    <v>-0.03</v>
    <v>0</v>
    <v>-9.9010000000000001E-3</v>
    <v>0</v>
    <v>CAD</v>
    <v>Capstone Copper Corp. is a Canada-based copper mining company. The Company own and operate the Pinto Valley copper mine located in Arizona, United States of America (USA), the Cozamin copper-silver mine located in Zacatecas, Mexico, the Mantos Blancos copper-silver mine located in the Antofagasta region, Chile, and the Mantoverde copper-gold mine, located in the Atacama region, Chile. The Company owns Santo Domingo copper-gold project, located approximately 30 kilometres (kms) northeast of Mantoverde in the Atacama region, Chile, as well as a portfolio of exploration properties in the Americas. Pinto Valley is an operating mill that produces copper. Cozamin is a copper-silver underground mine located 3.6 km north-northwest of Zacatecas City. Mantos Blancos is an open-pit mine that mines and processes both sulfide and oxide ores. Mantoverde is an open-pit mine that mines and processes the oxide ore.</v>
    <v>1075</v>
    <v>Toronto Stock Exchange</v>
    <v>XTSE</v>
    <v>XTSE</v>
    <v>2100 - 510 West Georgia Street, VANCOUVER, BC, V6B 0M3 CA</v>
    <v>3.07</v>
    <v>Metals &amp; Mining</v>
    <v>Stock</v>
    <v>44859.833333333336</v>
    <v>274</v>
    <v>2.99</v>
    <v>2070402900</v>
    <v>CAPSTONE COPPER CORP</v>
    <v>CAPSTONE COPPER CORP</v>
    <v>3</v>
    <v>6.39</v>
    <v>3.03</v>
    <v>3</v>
    <v>3</v>
    <v>690134300</v>
    <v>CS</v>
    <v>CAPSTONE COPPER CORP (XTSE:CS)</v>
    <v>793084</v>
    <v>949520</v>
    <v>2015</v>
  </rv>
  <rv s="2">
    <v>275</v>
  </rv>
  <rv s="0">
    <v>https://www.bing.com/financeapi/forcetrigger?t=aayk9c&amp;q=XTSE%3aHBM&amp;form=skydnc</v>
    <v>Learn more on Bing</v>
  </rv>
  <rv s="1">
    <v>en-CA</v>
    <v>aayk9c</v>
    <v>268435456</v>
    <v>1</v>
    <v>Powered by Refinitiv</v>
    <v>0</v>
    <v>Hudbay Minerals Inc. (XTSE:HBM)</v>
    <v>2</v>
    <v>19</v>
    <v>Finance</v>
    <v>20</v>
    <v>11.17</v>
    <v>4.07</v>
    <v>1.8865000000000001</v>
    <v>0.05</v>
    <v>0</v>
    <v>9.7470000000000005E-3</v>
    <v>0</v>
    <v>CAD</v>
    <v>Hudbay Minerals Inc. is a Canada-based is a diversified mining company. The Company is engaged in producing copper concentrate, consisting of copper, gold and silver, as well as zinc metal. Through its subsidiaries, the Company owns polymetallic mines, ore concentrators and zinc production facility in northern Manitoba and Saskatchewan (Canada) and Cusco (Peru), and copper projects in Arizona and Nevada (United States). It is focused on the exploration, development, operation, and optimization of properties it already controls, as well as other mineral assets it may acquire. It also has equity investments in various junior exploration companies. The Company owns Constancia mine, an open pit copper mine in Peru. It owns an underground copper, zinc, gold and silver mine in Flin Flon, Manitoba.</v>
    <v>2505</v>
    <v>Toronto Stock Exchange</v>
    <v>XTSE</v>
    <v>XTSE</v>
    <v>Suite 800 - 25 York Street, TORONTO, ON, M5J 2V5 CA</v>
    <v>5.25</v>
    <v>Metals &amp; Mining</v>
    <v>Stock</v>
    <v>44859.833333333336</v>
    <v>277</v>
    <v>5.05</v>
    <v>1356658058</v>
    <v>Hudbay Minerals Inc.</v>
    <v>Hudbay Minerals Inc.</v>
    <v>5.07</v>
    <v>28.83</v>
    <v>5.13</v>
    <v>5.18</v>
    <v>5.18</v>
    <v>261903100</v>
    <v>HBM</v>
    <v>Hudbay Minerals Inc. (XTSE:HBM)</v>
    <v>1402907</v>
    <v>1251230</v>
    <v>2017</v>
  </rv>
  <rv s="2">
    <v>278</v>
  </rv>
  <rv s="0">
    <v>https://www.bing.com/financeapi/forcetrigger?t=aay98m&amp;q=XTSE%3aFM&amp;form=skydnc</v>
    <v>Learn more on Bing</v>
  </rv>
  <rv s="1">
    <v>en-CA</v>
    <v>aay98m</v>
    <v>268435456</v>
    <v>1</v>
    <v>Powered by Refinitiv</v>
    <v>0</v>
    <v>First Quantum Minerals Ltd. (XTSE:FM)</v>
    <v>2</v>
    <v>19</v>
    <v>Finance</v>
    <v>20</v>
    <v>45.38</v>
    <v>18.675000000000001</v>
    <v>2.0922999999999998</v>
    <v>0.46</v>
    <v>0</v>
    <v>1.8768E-2</v>
    <v>0</v>
    <v>CAD</v>
    <v>First Quantum Minerals Ltd. is a Canada-based company engaged in the production of copper, nickel, gold, silver, zinc and acid, and related activities including exploration and development. The Company has operating mines located in Zambia, Panama, Finland, Turkey, Spain, Australia and Mauritania. It is developing the Taca Taca copper-gold-molybdenum project in Argentina and is exploring the Haquira copper deposit in Peru. Its operating mines include Cobre Panama, Kansanshi, Sentinel, Cobre Las Cruces, Guelb Moghrein, Cayeli, Ravensthorpe, and Pyhasalmi. The Cobre Panama is located in Colon Province approximately 120 kilometer west of Panama City. The Kansanshi copper-gold mine is located in the North Western Province of Zambia. The Sentinel open-pit copper mine is located approximately 150 kilometer west of Solwezi in North Western Province of Zambia. The Company is also developing Enterprise nickel project, which is located approximately 12 km away from its Sentinel copper mine.</v>
    <v>17845</v>
    <v>Toronto Stock Exchange</v>
    <v>XTSE</v>
    <v>XTSE</v>
    <v>P.O. Box 49314, Three Bentall Centre, 595 Burrard Street, Suite 2600, VANCOUVER, BC, V7X 1L3 CA</v>
    <v>25</v>
    <v>Metals &amp; Mining</v>
    <v>Stock</v>
    <v>44859.833333333336</v>
    <v>280</v>
    <v>24.05</v>
    <v>17273941366</v>
    <v>First Quantum Minerals Ltd.</v>
    <v>First Quantum Minerals Ltd.</v>
    <v>24.13</v>
    <v>9.74</v>
    <v>24.51</v>
    <v>24.97</v>
    <v>24.97</v>
    <v>691787800</v>
    <v>FM</v>
    <v>First Quantum Minerals Ltd. (XTSE:FM)</v>
    <v>2155013</v>
    <v>3257680</v>
    <v>2014</v>
  </rv>
  <rv s="2">
    <v>281</v>
  </rv>
  <rv s="0">
    <v>https://www.bing.com/financeapi/forcetrigger?t=aaz41h&amp;q=XTSE%3aLUN&amp;form=skydnc</v>
    <v>Learn more on Bing</v>
  </rv>
  <rv s="1">
    <v>en-CA</v>
    <v>aaz41h</v>
    <v>268435456</v>
    <v>1</v>
    <v>Powered by Refinitiv</v>
    <v>0</v>
    <v>Lundin Mining Corporation (XTSE:LUN)</v>
    <v>2</v>
    <v>19</v>
    <v>Finance</v>
    <v>20</v>
    <v>14</v>
    <v>6.24</v>
    <v>1.6460999999999999</v>
    <v>0.19</v>
    <v>0</v>
    <v>2.7656E-2</v>
    <v>0</v>
    <v>CAD</v>
    <v>Lundin Mining Corporation is a Canada-based diversified base metals mining company. The Company is engaged in mining, exploration and development of mineral properties, primarily in Chile, Brazil, Portugal, Sweden and the United States of America, primarily producing copper, zinc, gold and nickel. Its segments include Candeleria, Chapada, Eagle, Neves-Corvo and Zinkgruvan. Its geographical segments include Europe, Asia, South America and North America. Its operating assets include the Eagle mine located in the United States, the Neves-Corvo mine located in Portugal and the Zinkgruvan mine located in Sweden. The Company's Candelaria Copper Mining is located in Chile’s Atacama Region, Region III, at an elevation of approximately 650 meters above sea level and 20 kilometers(km) south of the city of Copiapo. Its Chapada project is located in approximately 320 km north of the state capital of Goiania and 270 km northwest of the national capital of Brasilia.</v>
    <v>4567</v>
    <v>Toronto Stock Exchange</v>
    <v>XTSE</v>
    <v>XTSE</v>
    <v>2200-150 King St W, P.O. Box 38, TORONTO, ON, M5H 1J9 CA</v>
    <v>7.07</v>
    <v>Metals &amp; Mining</v>
    <v>Stock</v>
    <v>44859.833333333336</v>
    <v>283</v>
    <v>6.82</v>
    <v>5452482478</v>
    <v>Lundin Mining Corporation</v>
    <v>Lundin Mining Corporation</v>
    <v>6.82</v>
    <v>5.65</v>
    <v>6.87</v>
    <v>7.06</v>
    <v>7.06</v>
    <v>772306300</v>
    <v>LUN</v>
    <v>Lundin Mining Corporation (XTSE:LUN)</v>
    <v>2008476</v>
    <v>2400660</v>
    <v>2007</v>
  </rv>
  <rv s="2">
    <v>284</v>
  </rv>
</rvData>
</file>

<file path=xl/richData/rdrichvaluestructure.xml><?xml version="1.0" encoding="utf-8"?>
<rvStructures xmlns="http://schemas.microsoft.com/office/spreadsheetml/2017/richdata" count="11">
  <s t="_hyperlink">
    <k n="Address" t="s"/>
    <k n="Text" t="s"/>
  </s>
  <s t="_linkedentitycore">
    <k n="%EntityCulture" t="s"/>
    <k n="%EntityId" t="s"/>
    <k n="%EntityServiceId"/>
    <k n="%IsRefreshable" t="b"/>
    <k n="%ProviderInfo" t="s"/>
    <k n="_Display" t="spb"/>
    <k n="_DisplayString" t="s"/>
    <k n="_Flags" t="spb"/>
    <k n="_Format" t="spb"/>
    <k n="_Icon" t="s"/>
    <k n="_SubLabel" t="spb"/>
    <k n="52 week high"/>
    <k n="52 week low"/>
    <k n="Beta"/>
    <k n="Change"/>
    <k n="Change % (Extended hours)"/>
    <k n="Change (%)"/>
    <k n="Change (Extended hours)"/>
    <k n="Currency" t="s"/>
    <k n="Description" t="s"/>
    <k n="Employees"/>
    <k n="Exchange" t="s"/>
    <k n="Exchange abbreviation" t="s"/>
    <k n="ExchangeID" t="s"/>
    <k n="Headquarters" t="s"/>
    <k n="High"/>
    <k n="Industry" t="s"/>
    <k n="Instrument type" t="s"/>
    <k n="Last trade time"/>
    <k n="LearnMoreOnLink" t="r"/>
    <k n="Low"/>
    <k n="Market cap"/>
    <k n="Name" t="s"/>
    <k n="Official name" t="s"/>
    <k n="Open"/>
    <k n="P/E"/>
    <k n="Previous close"/>
    <k n="Price"/>
    <k n="Price (Extended hours)"/>
    <k n="Shares outstanding"/>
    <k n="Ticker symbol" t="s"/>
    <k n="UniqueName" t="s"/>
    <k n="Volume"/>
    <k n="Volume average"/>
    <k n="Year incorporated"/>
  </s>
  <s t="_linkedentity">
    <k n="%cvi" t="r"/>
  </s>
  <s t="_sourceattribution">
    <k n="License" t="r"/>
    <k n="Source" t="r"/>
  </s>
  <s t="_imageurl">
    <k n="_Provider" t="spb"/>
    <k n="Address" t="s"/>
    <k n="Attribution" t="r"/>
    <k n="ComputedImage" t="b"/>
    <k n="More Images Address" t="s"/>
    <k n="Text" t="s"/>
  </s>
  <s t="_linkedentitycore">
    <k n="%EntityCulture" t="s"/>
    <k n="%EntityId" t="s"/>
    <k n="%EntityServiceId"/>
    <k n="%IsRefreshable" t="b"/>
    <k n="%ProviderInfo" t="s"/>
    <k n="_Display" t="spb"/>
    <k n="_DisplayString" t="s"/>
    <k n="_Flags" t="spb"/>
    <k n="_Format" t="spb"/>
    <k n="_Icon" t="s"/>
    <k n="_SubLabel" t="spb"/>
    <k n="52 week high"/>
    <k n="52 week low"/>
    <k n="Beta"/>
    <k n="Change"/>
    <k n="Change % (Extended hours)"/>
    <k n="Change (%)"/>
    <k n="Change (Extended hours)"/>
    <k n="Currency" t="s"/>
    <k n="Description" t="s"/>
    <k n="Employees"/>
    <k n="Exchange" t="s"/>
    <k n="Exchange abbreviation" t="s"/>
    <k n="ExchangeID" t="s"/>
    <k n="Headquarters" t="s"/>
    <k n="High"/>
    <k n="Image" t="r"/>
    <k n="Industry" t="s"/>
    <k n="Instrument type" t="s"/>
    <k n="Last trade time"/>
    <k n="LearnMoreOnLink" t="r"/>
    <k n="Low"/>
    <k n="Market cap"/>
    <k n="Name" t="s"/>
    <k n="Official name" t="s"/>
    <k n="Open"/>
    <k n="P/E"/>
    <k n="Previous close"/>
    <k n="Price"/>
    <k n="Price (Extended hours)"/>
    <k n="Shares outstanding"/>
    <k n="Ticker symbol" t="s"/>
    <k n="UniqueName" t="s"/>
    <k n="Volume"/>
    <k n="Volume average"/>
    <k n="Year incorporated"/>
  </s>
  <s t="_linkedentitycore">
    <k n="%EntityCulture" t="s"/>
    <k n="%EntityId" t="s"/>
    <k n="%EntityServiceId"/>
    <k n="%IsRefreshable" t="b"/>
    <k n="%ProviderInfo" t="s"/>
    <k n="_Display" t="spb"/>
    <k n="_DisplayString" t="s"/>
    <k n="_Flags" t="spb"/>
    <k n="_Format" t="spb"/>
    <k n="_Icon" t="s"/>
    <k n="_SubLabel" t="spb"/>
    <k n="52 week high"/>
    <k n="52 week low"/>
    <k n="Beta"/>
    <k n="Change"/>
    <k n="Change % (Extended hours)"/>
    <k n="Change (%)"/>
    <k n="Change (Extended hours)"/>
    <k n="Currency" t="s"/>
    <k n="Description" t="s"/>
    <k n="Employees"/>
    <k n="Exchange" t="s"/>
    <k n="Exchange abbreviation" t="s"/>
    <k n="ExchangeID" t="s"/>
    <k n="Headquarters" t="s"/>
    <k n="High"/>
    <k n="Industry" t="s"/>
    <k n="Instrument type" t="s"/>
    <k n="Last trade time"/>
    <k n="LearnMoreOnLink" t="r"/>
    <k n="Low"/>
    <k n="Market cap"/>
    <k n="Name" t="s"/>
    <k n="Official name" t="s"/>
    <k n="Open"/>
    <k n="Previous close"/>
    <k n="Price"/>
    <k n="Price (Extended hours)"/>
    <k n="Shares outstanding"/>
    <k n="Ticker symbol" t="s"/>
    <k n="UniqueName" t="s"/>
    <k n="Volume"/>
    <k n="Volume average"/>
    <k n="Year incorporated"/>
  </s>
  <s t="_linkedentitycore">
    <k n="%EntityCulture" t="s"/>
    <k n="%EntityId" t="s"/>
    <k n="%EntityServiceId"/>
    <k n="%IsRefreshable" t="b"/>
    <k n="%ProviderInfo" t="s"/>
    <k n="_Display" t="spb"/>
    <k n="_DisplayString" t="s"/>
    <k n="_Flags" t="spb"/>
    <k n="_Format" t="spb"/>
    <k n="_Icon" t="s"/>
    <k n="_SubLabel" t="spb"/>
    <k n="52 week high"/>
    <k n="52 week low"/>
    <k n="Beta"/>
    <k n="Change"/>
    <k n="Change % (Extended hours)"/>
    <k n="Change (%)"/>
    <k n="Change (Extended hours)"/>
    <k n="Currency" t="s"/>
    <k n="Exchange" t="s"/>
    <k n="Exchange abbreviation" t="s"/>
    <k n="Expense ratio"/>
    <k n="High"/>
    <k n="Instrument type" t="s"/>
    <k n="Last trade time"/>
    <k n="LearnMoreOnLink" t="r"/>
    <k n="Low"/>
    <k n="Market cap"/>
    <k n="Name" t="s"/>
    <k n="Open"/>
    <k n="Previous close"/>
    <k n="Price"/>
    <k n="Price (Extended hours)"/>
    <k n="Ticker symbol" t="s"/>
    <k n="UniqueName" t="s"/>
    <k n="Volume"/>
    <k n="Volume average"/>
  </s>
  <s t="_linkedentitycore">
    <k n="%EntityCulture" t="s"/>
    <k n="%EntityId" t="s"/>
    <k n="%EntityServiceId"/>
    <k n="%IsRefreshable" t="b"/>
    <k n="%ProviderInfo" t="s"/>
    <k n="_Display" t="spb"/>
    <k n="_DisplayString" t="s"/>
    <k n="_Flags" t="spb"/>
    <k n="_Format" t="spb"/>
    <k n="_Icon" t="s"/>
    <k n="_SubLabel" t="spb"/>
    <k n="52 week high"/>
    <k n="52 week low"/>
    <k n="Beta"/>
    <k n="Change"/>
    <k n="Change (%)"/>
    <k n="Currency" t="s"/>
    <k n="Exchange" t="s"/>
    <k n="Exchange abbreviation" t="s"/>
    <k n="Expense ratio"/>
    <k n="High"/>
    <k n="Instrument type" t="s"/>
    <k n="Last trade time"/>
    <k n="LearnMoreOnLink" t="r"/>
    <k n="Low"/>
    <k n="Market cap"/>
    <k n="Name" t="s"/>
    <k n="Open"/>
    <k n="Previous close"/>
    <k n="Price"/>
    <k n="Ticker symbol" t="s"/>
    <k n="UniqueName" t="s"/>
    <k n="Volume"/>
  </s>
  <s t="_linkedentitycore">
    <k n="%EntityCulture" t="s"/>
    <k n="%EntityId" t="s"/>
    <k n="%EntityServiceId"/>
    <k n="%IsRefreshable" t="b"/>
    <k n="%ProviderInfo" t="s"/>
    <k n="_Display" t="spb"/>
    <k n="_DisplayString" t="s"/>
    <k n="_Flags" t="spb"/>
    <k n="_Format" t="spb"/>
    <k n="_Icon" t="s"/>
    <k n="_SubLabel" t="spb"/>
    <k n="52 week high"/>
    <k n="52 week low"/>
    <k n="Beta"/>
    <k n="Change"/>
    <k n="Change % (Extended hours)"/>
    <k n="Change (%)"/>
    <k n="Change (Extended hours)"/>
    <k n="Currency" t="s"/>
    <k n="Description" t="s"/>
    <k n="Employees"/>
    <k n="Exchange" t="s"/>
    <k n="Exchange abbreviation" t="s"/>
    <k n="ExchangeID" t="s"/>
    <k n="Headquarters" t="s"/>
    <k n="High"/>
    <k n="Industry" t="s"/>
    <k n="Instrument type" t="s"/>
    <k n="Last trade time"/>
    <k n="LearnMoreOnLink" t="r"/>
    <k n="Low"/>
    <k n="Market cap"/>
    <k n="Name" t="s"/>
    <k n="Official name" t="s"/>
    <k n="Open"/>
    <k n="P/E"/>
    <k n="Previous close"/>
    <k n="Price"/>
    <k n="Price (Extended hours)"/>
    <k n="Shares outstanding"/>
    <k n="Ticker symbol" t="s"/>
    <k n="UniqueName" t="s"/>
    <k n="Volume"/>
    <k n="Volume average"/>
  </s>
  <s t="_linkedentitycore">
    <k n="%EntityCulture" t="s"/>
    <k n="%EntityId" t="s"/>
    <k n="%EntityServiceId"/>
    <k n="%IsRefreshable" t="b"/>
    <k n="%OutdatedReason" t="i"/>
    <k n="%ProviderInfo" t="s"/>
    <k n="_Display" t="spb"/>
    <k n="_DisplayString" t="s"/>
    <k n="_Flags" t="spb"/>
    <k n="_Format" t="spb"/>
    <k n="_Icon" t="s"/>
    <k n="_SubLabel" t="spb"/>
    <k n="52 week high"/>
    <k n="52 week low"/>
    <k n="Beta"/>
    <k n="Change"/>
    <k n="Change % (Extended hours)"/>
    <k n="Change (%)"/>
    <k n="Change (Extended hours)"/>
    <k n="Currency" t="s"/>
    <k n="Description" t="s"/>
    <k n="Employees"/>
    <k n="Exchange" t="s"/>
    <k n="Exchange abbreviation" t="s"/>
    <k n="ExchangeID" t="s"/>
    <k n="Headquarters" t="s"/>
    <k n="High"/>
    <k n="Industry" t="s"/>
    <k n="Instrument type" t="s"/>
    <k n="Last trade time"/>
    <k n="LearnMoreOnLink" t="r"/>
    <k n="Low"/>
    <k n="Market cap"/>
    <k n="Name" t="s"/>
    <k n="Official name" t="s"/>
    <k n="Open"/>
    <k n="Previous close"/>
    <k n="Price"/>
    <k n="Price (Extended hours)"/>
    <k n="Shares outstanding"/>
    <k n="Ticker symbol" t="s"/>
    <k n="UniqueName" t="s"/>
    <k n="Volume"/>
    <k n="Year incorporated"/>
  </s>
</rvStructures>
</file>

<file path=xl/richData/rdsupportingpropertybag.xml><?xml version="1.0" encoding="utf-8"?>
<supportingPropertyBags xmlns="http://schemas.microsoft.com/office/spreadsheetml/2017/richdata2">
  <spbArrays count="7">
    <a count="45">
      <v t="s">%EntityServiceId</v>
      <v t="s">_Format</v>
      <v t="s">%IsRefreshable</v>
      <v t="s">%EntityCulture</v>
      <v t="s">%EntityId</v>
      <v t="s">_Icon</v>
      <v t="s">_Display</v>
      <v t="s">Name</v>
      <v t="s">_SubLabel</v>
      <v t="s">Price</v>
      <v t="s">Price (Extended hours)</v>
      <v t="s">Exchange</v>
      <v t="s">Official name</v>
      <v t="s">Last trade time</v>
      <v t="s">Ticker symbol</v>
      <v t="s">Exchange abbreviation</v>
      <v t="s">Change</v>
      <v t="s">Change (Extended hours)</v>
      <v t="s">Change (%)</v>
      <v t="s">Change % (Extended hours)</v>
      <v t="s">Currency</v>
      <v t="s">Previous close</v>
      <v t="s">Open</v>
      <v t="s">High</v>
      <v t="s">Low</v>
      <v t="s">52 week high</v>
      <v t="s">52 week low</v>
      <v t="s">Volume</v>
      <v t="s">Volume average</v>
      <v t="s">Market cap</v>
      <v t="s">Beta</v>
      <v t="s">P/E</v>
      <v t="s">Shares outstanding</v>
      <v t="s">Description</v>
      <v t="s">Employees</v>
      <v t="s">Headquarters</v>
      <v t="s">Industry</v>
      <v t="s">Instrument type</v>
      <v t="s">Year incorporated</v>
      <v t="s">_Flags</v>
      <v t="s">UniqueName</v>
      <v t="s">_DisplayString</v>
      <v t="s">LearnMoreOnLink</v>
      <v t="s">ExchangeID</v>
      <v t="s">%ProviderInfo</v>
    </a>
    <a count="46">
      <v t="s">%EntityServiceId</v>
      <v t="s">_Format</v>
      <v t="s">%IsRefreshable</v>
      <v t="s">%EntityCulture</v>
      <v t="s">%EntityId</v>
      <v t="s">_Icon</v>
      <v t="s">_Display</v>
      <v t="s">Name</v>
      <v t="s">_SubLabel</v>
      <v t="s">Price</v>
      <v t="s">Price (Extended hours)</v>
      <v t="s">Exchange</v>
      <v t="s">Official name</v>
      <v t="s">Last trade time</v>
      <v t="s">Ticker symbol</v>
      <v t="s">Exchange abbreviation</v>
      <v t="s">Change</v>
      <v t="s">Change (Extended hours)</v>
      <v t="s">Change (%)</v>
      <v t="s">Change % (Extended hours)</v>
      <v t="s">Currency</v>
      <v t="s">Previous close</v>
      <v t="s">Open</v>
      <v t="s">High</v>
      <v t="s">Low</v>
      <v t="s">52 week high</v>
      <v t="s">52 week low</v>
      <v t="s">Volume</v>
      <v t="s">Volume average</v>
      <v t="s">Market cap</v>
      <v t="s">Beta</v>
      <v t="s">P/E</v>
      <v t="s">Shares outstanding</v>
      <v t="s">Description</v>
      <v t="s">Employees</v>
      <v t="s">Headquarters</v>
      <v t="s">Industry</v>
      <v t="s">Instrument type</v>
      <v t="s">Year incorporated</v>
      <v t="s">_Flags</v>
      <v t="s">UniqueName</v>
      <v t="s">_DisplayString</v>
      <v t="s">LearnMoreOnLink</v>
      <v t="s">Image</v>
      <v t="s">ExchangeID</v>
      <v t="s">%ProviderInfo</v>
    </a>
    <a count="44">
      <v t="s">%EntityServiceId</v>
      <v t="s">_Format</v>
      <v t="s">%IsRefreshable</v>
      <v t="s">%EntityCulture</v>
      <v t="s">%EntityId</v>
      <v t="s">_Icon</v>
      <v t="s">_Display</v>
      <v t="s">Name</v>
      <v t="s">_SubLabel</v>
      <v t="s">Price</v>
      <v t="s">Price (Extended hours)</v>
      <v t="s">Exchange</v>
      <v t="s">Official name</v>
      <v t="s">Last trade time</v>
      <v t="s">Ticker symbol</v>
      <v t="s">Exchange abbreviation</v>
      <v t="s">Change</v>
      <v t="s">Change (Extended hours)</v>
      <v t="s">Change (%)</v>
      <v t="s">Change % (Extended hours)</v>
      <v t="s">Currency</v>
      <v t="s">Previous close</v>
      <v t="s">Open</v>
      <v t="s">High</v>
      <v t="s">Low</v>
      <v t="s">52 week high</v>
      <v t="s">52 week low</v>
      <v t="s">Volume</v>
      <v t="s">Volume average</v>
      <v t="s">Market cap</v>
      <v t="s">Beta</v>
      <v t="s">Shares outstanding</v>
      <v t="s">Description</v>
      <v t="s">Employees</v>
      <v t="s">Headquarters</v>
      <v t="s">Industry</v>
      <v t="s">Instrument type</v>
      <v t="s">Year incorporated</v>
      <v t="s">_Flags</v>
      <v t="s">UniqueName</v>
      <v t="s">_DisplayString</v>
      <v t="s">LearnMoreOnLink</v>
      <v t="s">ExchangeID</v>
      <v t="s">%ProviderInfo</v>
    </a>
    <a count="37">
      <v t="s">%EntityServiceId</v>
      <v t="s">_Format</v>
      <v t="s">%IsRefreshable</v>
      <v t="s">%EntityCulture</v>
      <v t="s">%EntityId</v>
      <v t="s">_Icon</v>
      <v t="s">_Display</v>
      <v t="s">Name</v>
      <v t="s">_SubLabel</v>
      <v t="s">Price</v>
      <v t="s">Price (Extended hours)</v>
      <v t="s">Exchange</v>
      <v t="s">Last trade time</v>
      <v t="s">Ticker symbol</v>
      <v t="s">Exchange abbreviation</v>
      <v t="s">Change</v>
      <v t="s">Change (Extended hours)</v>
      <v t="s">Expense ratio</v>
      <v t="s">Change (%)</v>
      <v t="s">Change % (Extended hours)</v>
      <v t="s">Currency</v>
      <v t="s">Previous close</v>
      <v t="s">Open</v>
      <v t="s">High</v>
      <v t="s">Low</v>
      <v t="s">52 week high</v>
      <v t="s">52 week low</v>
      <v t="s">Volume</v>
      <v t="s">Volume average</v>
      <v t="s">Market cap</v>
      <v t="s">Beta</v>
      <v t="s">Instrument type</v>
      <v t="s">_Flags</v>
      <v t="s">UniqueName</v>
      <v t="s">_DisplayString</v>
      <v t="s">LearnMoreOnLink</v>
      <v t="s">%ProviderInfo</v>
    </a>
    <a count="33">
      <v t="s">%EntityServiceId</v>
      <v t="s">_Format</v>
      <v t="s">%IsRefreshable</v>
      <v t="s">%EntityCulture</v>
      <v t="s">%EntityId</v>
      <v t="s">_Icon</v>
      <v t="s">_Display</v>
      <v t="s">Name</v>
      <v t="s">_SubLabel</v>
      <v t="s">Price</v>
      <v t="s">Exchange</v>
      <v t="s">Last trade time</v>
      <v t="s">Ticker symbol</v>
      <v t="s">Exchange abbreviation</v>
      <v t="s">Change</v>
      <v t="s">Expense ratio</v>
      <v t="s">Change (%)</v>
      <v t="s">Currency</v>
      <v t="s">Previous close</v>
      <v t="s">Open</v>
      <v t="s">High</v>
      <v t="s">Low</v>
      <v t="s">52 week high</v>
      <v t="s">52 week low</v>
      <v t="s">Volume</v>
      <v t="s">Market cap</v>
      <v t="s">Beta</v>
      <v t="s">Instrument type</v>
      <v t="s">_Flags</v>
      <v t="s">UniqueName</v>
      <v t="s">_DisplayString</v>
      <v t="s">LearnMoreOnLink</v>
      <v t="s">%ProviderInfo</v>
    </a>
    <a count="44">
      <v t="s">%EntityServiceId</v>
      <v t="s">_Format</v>
      <v t="s">%IsRefreshable</v>
      <v t="s">%EntityCulture</v>
      <v t="s">%EntityId</v>
      <v t="s">_Icon</v>
      <v t="s">_Display</v>
      <v t="s">Name</v>
      <v t="s">_SubLabel</v>
      <v t="s">Price</v>
      <v t="s">Price (Extended hours)</v>
      <v t="s">Exchange</v>
      <v t="s">Official name</v>
      <v t="s">Last trade time</v>
      <v t="s">Ticker symbol</v>
      <v t="s">Exchange abbreviation</v>
      <v t="s">Change</v>
      <v t="s">Change (Extended hours)</v>
      <v t="s">Change (%)</v>
      <v t="s">Change % (Extended hours)</v>
      <v t="s">Currency</v>
      <v t="s">Previous close</v>
      <v t="s">Open</v>
      <v t="s">High</v>
      <v t="s">Low</v>
      <v t="s">52 week high</v>
      <v t="s">52 week low</v>
      <v t="s">Volume</v>
      <v t="s">Volume average</v>
      <v t="s">Market cap</v>
      <v t="s">Beta</v>
      <v t="s">P/E</v>
      <v t="s">Shares outstanding</v>
      <v t="s">Description</v>
      <v t="s">Employees</v>
      <v t="s">Headquarters</v>
      <v t="s">Industry</v>
      <v t="s">Instrument type</v>
      <v t="s">_Flags</v>
      <v t="s">UniqueName</v>
      <v t="s">_DisplayString</v>
      <v t="s">LearnMoreOnLink</v>
      <v t="s">ExchangeID</v>
      <v t="s">%ProviderInfo</v>
    </a>
    <a count="44">
      <v t="s">%EntityServiceId</v>
      <v t="s">_Format</v>
      <v t="s">%IsRefreshable</v>
      <v t="s">%EntityCulture</v>
      <v t="s">%EntityId</v>
      <v t="s">_Icon</v>
      <v t="s">_Display</v>
      <v t="s">Name</v>
      <v t="s">_SubLabel</v>
      <v t="s">Price</v>
      <v t="s">Price (Extended hours)</v>
      <v t="s">Exchange</v>
      <v t="s">Official name</v>
      <v t="s">Last trade time</v>
      <v t="s">Ticker symbol</v>
      <v t="s">Exchange abbreviation</v>
      <v t="s">Change</v>
      <v t="s">Change (Extended hours)</v>
      <v t="s">Change (%)</v>
      <v t="s">Change % (Extended hours)</v>
      <v t="s">Currency</v>
      <v t="s">Previous close</v>
      <v t="s">Open</v>
      <v t="s">High</v>
      <v t="s">Low</v>
      <v t="s">52 week high</v>
      <v t="s">52 week low</v>
      <v t="s">Volume</v>
      <v t="s">Market cap</v>
      <v t="s">Beta</v>
      <v t="s">Shares outstanding</v>
      <v t="s">Description</v>
      <v t="s">Employees</v>
      <v t="s">Headquarters</v>
      <v t="s">Industry</v>
      <v t="s">Instrument type</v>
      <v t="s">Year incorporated</v>
      <v t="s">_Flags</v>
      <v t="s">UniqueName</v>
      <v t="s">_DisplayString</v>
      <v t="s">LearnMoreOnLink</v>
      <v t="s">ExchangeID</v>
      <v t="s">%ProviderInfo</v>
      <v t="s">%OutdatedReason</v>
    </a>
  </spbArrays>
  <spbData count="29">
    <spb s="0">
      <v>0</v>
      <v>Name</v>
      <v>LearnMoreOnLink</v>
    </spb>
    <spb s="1">
      <v>0</v>
      <v>0</v>
      <v>0</v>
    </spb>
    <spb s="2">
      <v>1</v>
      <v>1</v>
      <v>1</v>
      <v>1</v>
    </spb>
    <spb s="3">
      <v>1</v>
      <v>2</v>
      <v>2</v>
      <v>1</v>
      <v>3</v>
      <v>1</v>
      <v>1</v>
      <v>1</v>
      <v>4</v>
      <v>4</v>
      <v>5</v>
      <v>6</v>
      <v>1</v>
      <v>1</v>
      <v>1</v>
      <v>4</v>
      <v>7</v>
      <v>8</v>
      <v>9</v>
      <v>4</v>
      <v>1</v>
      <v>1</v>
      <v>5</v>
    </spb>
    <spb s="4">
      <v>at close</v>
      <v>from previous close</v>
      <v>from previous close</v>
      <v>Source: Nasdaq</v>
      <v>GMT</v>
      <v>Delayed 15 minutes</v>
      <v>from close</v>
      <v>from close</v>
    </spb>
    <spb s="0">
      <v>1</v>
      <v>Name</v>
      <v>LearnMoreOnLink</v>
    </spb>
    <spb s="5">
      <v>0</v>
      <v>0</v>
    </spb>
    <spb s="6">
      <v>6</v>
      <v>1</v>
      <v>1</v>
      <v>1</v>
      <v>1</v>
    </spb>
    <spb s="7">
      <v>1</v>
      <v>2</v>
      <v>2</v>
      <v>1</v>
      <v>3</v>
      <v>1</v>
      <v>10</v>
      <v>1</v>
      <v>1</v>
      <v>4</v>
      <v>4</v>
      <v>5</v>
      <v>6</v>
      <v>1</v>
      <v>1</v>
      <v>1</v>
      <v>4</v>
      <v>7</v>
      <v>8</v>
      <v>9</v>
      <v>4</v>
      <v>1</v>
      <v>1</v>
      <v>5</v>
    </spb>
    <spb s="8">
      <v>Powered by Refinitiv</v>
    </spb>
    <spb s="0">
      <v>2</v>
      <v>Name</v>
      <v>LearnMoreOnLink</v>
    </spb>
    <spb s="9">
      <v>1</v>
      <v>2</v>
      <v>1</v>
      <v>3</v>
      <v>1</v>
      <v>1</v>
      <v>1</v>
      <v>4</v>
      <v>4</v>
      <v>5</v>
      <v>6</v>
      <v>1</v>
      <v>1</v>
      <v>1</v>
      <v>4</v>
      <v>7</v>
      <v>8</v>
      <v>9</v>
      <v>4</v>
      <v>1</v>
      <v>1</v>
      <v>5</v>
    </spb>
    <spb s="0">
      <v>3</v>
      <v>Name</v>
      <v>LearnMoreOnLink</v>
    </spb>
    <spb s="10">
      <v>1</v>
      <v>1</v>
      <v>1</v>
    </spb>
    <spb s="11">
      <v>1</v>
      <v>2</v>
      <v>1</v>
      <v>3</v>
      <v>1</v>
      <v>1</v>
      <v>1</v>
      <v>4</v>
      <v>5</v>
      <v>6</v>
      <v>1</v>
      <v>1</v>
      <v>5</v>
      <v>1</v>
      <v>4</v>
      <v>7</v>
      <v>9</v>
      <v>1</v>
      <v>1</v>
      <v>5</v>
    </spb>
    <spb s="12">
      <v>at close</v>
      <v>from previous close</v>
      <v>Source: Nasdaq</v>
      <v>from previous close</v>
      <v>GMT</v>
      <v>Delayed 15 minutes</v>
      <v>from close</v>
      <v>from close</v>
    </spb>
    <spb s="0">
      <v>4</v>
      <v>Name</v>
      <v>LearnMoreOnLink</v>
    </spb>
    <spb s="13">
      <v>11</v>
      <v>2</v>
      <v>11</v>
      <v>3</v>
      <v>11</v>
      <v>11</v>
      <v>11</v>
      <v>4</v>
      <v>5</v>
      <v>12</v>
      <v>11</v>
      <v>11</v>
      <v>5</v>
      <v>11</v>
      <v>7</v>
      <v>9</v>
    </spb>
    <spb s="14">
      <v>Delayed 20 minutes</v>
      <v>from previous close</v>
      <v>from previous close</v>
      <v>GMT</v>
    </spb>
    <spb s="3">
      <v>11</v>
      <v>2</v>
      <v>2</v>
      <v>11</v>
      <v>3</v>
      <v>11</v>
      <v>11</v>
      <v>11</v>
      <v>4</v>
      <v>4</v>
      <v>5</v>
      <v>12</v>
      <v>11</v>
      <v>11</v>
      <v>11</v>
      <v>4</v>
      <v>7</v>
      <v>8</v>
      <v>9</v>
      <v>4</v>
      <v>11</v>
      <v>11</v>
      <v>5</v>
    </spb>
    <spb s="15">
      <v>at close</v>
      <v>from previous close</v>
      <v>from previous close</v>
      <v>GMT</v>
      <v>Delayed 20 minutes</v>
      <v>from close</v>
      <v>from close</v>
    </spb>
    <spb s="3">
      <v>11</v>
      <v>2</v>
      <v>2</v>
      <v>11</v>
      <v>3</v>
      <v>11</v>
      <v>11</v>
      <v>11</v>
      <v>4</v>
      <v>4</v>
      <v>5</v>
      <v>6</v>
      <v>11</v>
      <v>11</v>
      <v>11</v>
      <v>4</v>
      <v>7</v>
      <v>8</v>
      <v>9</v>
      <v>4</v>
      <v>11</v>
      <v>11</v>
      <v>5</v>
    </spb>
    <spb s="9">
      <v>11</v>
      <v>2</v>
      <v>11</v>
      <v>3</v>
      <v>11</v>
      <v>11</v>
      <v>11</v>
      <v>4</v>
      <v>4</v>
      <v>5</v>
      <v>12</v>
      <v>11</v>
      <v>11</v>
      <v>11</v>
      <v>4</v>
      <v>7</v>
      <v>8</v>
      <v>9</v>
      <v>4</v>
      <v>11</v>
      <v>11</v>
      <v>5</v>
    </spb>
    <spb s="7">
      <v>11</v>
      <v>2</v>
      <v>2</v>
      <v>11</v>
      <v>3</v>
      <v>11</v>
      <v>10</v>
      <v>11</v>
      <v>11</v>
      <v>4</v>
      <v>4</v>
      <v>5</v>
      <v>12</v>
      <v>11</v>
      <v>11</v>
      <v>11</v>
      <v>4</v>
      <v>7</v>
      <v>8</v>
      <v>9</v>
      <v>4</v>
      <v>11</v>
      <v>11</v>
      <v>5</v>
    </spb>
    <spb s="0">
      <v>5</v>
      <v>Name</v>
      <v>LearnMoreOnLink</v>
    </spb>
    <spb s="16">
      <v>1</v>
      <v>2</v>
      <v>2</v>
      <v>1</v>
      <v>3</v>
      <v>1</v>
      <v>1</v>
      <v>1</v>
      <v>4</v>
      <v>4</v>
      <v>5</v>
      <v>6</v>
      <v>1</v>
      <v>1</v>
      <v>1</v>
      <v>4</v>
      <v>7</v>
      <v>9</v>
      <v>4</v>
      <v>1</v>
      <v>1</v>
      <v>5</v>
    </spb>
    <spb s="0">
      <v>6</v>
      <v>Name</v>
      <v>LearnMoreOnLink</v>
    </spb>
    <spb s="17">
      <v>13</v>
      <v>14</v>
      <v>13</v>
      <v>3</v>
      <v>13</v>
      <v>13</v>
      <v>13</v>
      <v>15</v>
      <v>15</v>
      <v>5</v>
      <v>16</v>
      <v>13</v>
      <v>13</v>
      <v>13</v>
      <v>7</v>
      <v>17</v>
      <v>18</v>
      <v>15</v>
      <v>13</v>
      <v>13</v>
      <v>5</v>
    </spb>
    <spb s="15">
      <v>at close</v>
      <v>from previous close</v>
      <v>from previous close</v>
      <v>GMT</v>
      <v>Delayed 15 minutes</v>
      <v>from close</v>
      <v>from close</v>
    </spb>
  </spbData>
</supportingPropertyBags>
</file>

<file path=xl/richData/rdsupportingpropertybagstructure.xml><?xml version="1.0" encoding="utf-8"?>
<spbStructures xmlns="http://schemas.microsoft.com/office/spreadsheetml/2017/richdata2" count="18">
  <s>
    <k n="^Order" t="spba"/>
    <k n="TitleProperty" t="s"/>
    <k n="SubTitleProperty" t="s"/>
  </s>
  <s>
    <k n="ShowInCardView" t="b"/>
    <k n="ShowInDotNotation" t="b"/>
    <k n="ShowInAutoComplete" t="b"/>
  </s>
  <s>
    <k n="ExchangeID" t="spb"/>
    <k n="UniqueName" t="spb"/>
    <k n="`%ProviderInfo" t="spb"/>
    <k n="LearnMoreOnLink" t="spb"/>
  </s>
  <s>
    <k n="Low" t="i"/>
    <k n="P/E" t="i"/>
    <k n="Beta" t="i"/>
    <k n="High" t="i"/>
    <k n="Name" t="i"/>
    <k n="Open" t="i"/>
    <k n="Price" t="i"/>
    <k n="Change" t="i"/>
    <k n="Volume" t="i"/>
    <k n="Employees" t="i"/>
    <k n="Change (%)" t="i"/>
    <k n="Market cap" t="i"/>
    <k n="52 week low" t="i"/>
    <k n="52 week high" t="i"/>
    <k n="Previous close" t="i"/>
    <k n="Volume average" t="i"/>
    <k n="Last trade time" t="i"/>
    <k n="Year incorporated" t="i"/>
    <k n="`%EntityServiceId" t="i"/>
    <k n="Shares outstanding" t="i"/>
    <k n="Price (Extended hours)" t="i"/>
    <k n="Change (Extended hours)" t="i"/>
    <k n="Change % (Extended hours)" t="i"/>
  </s>
  <s>
    <k n="Price" t="s"/>
    <k n="Change" t="s"/>
    <k n="Change (%)" t="s"/>
    <k n="ExchangeID" t="s"/>
    <k n="Last trade time" t="s"/>
    <k n="Price (Extended hours)" t="s"/>
    <k n="Change (Extended hours)" t="s"/>
    <k n="Change % (Extended hours)" t="s"/>
  </s>
  <s>
    <k n="ShowInDotNotation" t="b"/>
    <k n="ShowInAutoComplete" t="b"/>
  </s>
  <s>
    <k n="Image" t="spb"/>
    <k n="ExchangeID" t="spb"/>
    <k n="UniqueName" t="spb"/>
    <k n="`%ProviderInfo" t="spb"/>
    <k n="LearnMoreOnLink" t="spb"/>
  </s>
  <s>
    <k n="Low" t="i"/>
    <k n="P/E" t="i"/>
    <k n="Beta" t="i"/>
    <k n="High" t="i"/>
    <k n="Name" t="i"/>
    <k n="Open" t="i"/>
    <k n="Image" t="i"/>
    <k n="Price" t="i"/>
    <k n="Change" t="i"/>
    <k n="Volume" t="i"/>
    <k n="Employees" t="i"/>
    <k n="Change (%)" t="i"/>
    <k n="Market cap" t="i"/>
    <k n="52 week low" t="i"/>
    <k n="52 week high" t="i"/>
    <k n="Previous close" t="i"/>
    <k n="Volume average" t="i"/>
    <k n="Last trade time" t="i"/>
    <k n="Year incorporated" t="i"/>
    <k n="`%EntityServiceId" t="i"/>
    <k n="Shares outstanding" t="i"/>
    <k n="Price (Extended hours)" t="i"/>
    <k n="Change (Extended hours)" t="i"/>
    <k n="Change % (Extended hours)" t="i"/>
  </s>
  <s>
    <k n="name" t="s"/>
  </s>
  <s>
    <k n="Low" t="i"/>
    <k n="Beta" t="i"/>
    <k n="High" t="i"/>
    <k n="Name" t="i"/>
    <k n="Open" t="i"/>
    <k n="Price" t="i"/>
    <k n="Change" t="i"/>
    <k n="Volume" t="i"/>
    <k n="Employees" t="i"/>
    <k n="Change (%)" t="i"/>
    <k n="Market cap" t="i"/>
    <k n="52 week low" t="i"/>
    <k n="52 week high" t="i"/>
    <k n="Previous close" t="i"/>
    <k n="Volume average" t="i"/>
    <k n="Last trade time" t="i"/>
    <k n="Year incorporated" t="i"/>
    <k n="`%EntityServiceId" t="i"/>
    <k n="Shares outstanding" t="i"/>
    <k n="Price (Extended hours)" t="i"/>
    <k n="Change (Extended hours)" t="i"/>
    <k n="Change % (Extended hours)" t="i"/>
  </s>
  <s>
    <k n="UniqueName" t="spb"/>
    <k n="`%ProviderInfo" t="spb"/>
    <k n="LearnMoreOnLink" t="spb"/>
  </s>
  <s>
    <k n="Low" t="i"/>
    <k n="Beta" t="i"/>
    <k n="High" t="i"/>
    <k n="Name" t="i"/>
    <k n="Open" t="i"/>
    <k n="Price" t="i"/>
    <k n="Change" t="i"/>
    <k n="Volume" t="i"/>
    <k n="Change (%)" t="i"/>
    <k n="Market cap" t="i"/>
    <k n="52 week low" t="i"/>
    <k n="52 week high" t="i"/>
    <k n="Expense ratio" t="i"/>
    <k n="Previous close" t="i"/>
    <k n="Volume average" t="i"/>
    <k n="Last trade time" t="i"/>
    <k n="`%EntityServiceId" t="i"/>
    <k n="Price (Extended hours)" t="i"/>
    <k n="Change (Extended hours)" t="i"/>
    <k n="Change % (Extended hours)" t="i"/>
  </s>
  <s>
    <k n="Price" t="s"/>
    <k n="Change" t="s"/>
    <k n="Exchange" t="s"/>
    <k n="Change (%)" t="s"/>
    <k n="Last trade time" t="s"/>
    <k n="Price (Extended hours)" t="s"/>
    <k n="Change (Extended hours)" t="s"/>
    <k n="Change % (Extended hours)" t="s"/>
  </s>
  <s>
    <k n="Low" t="i"/>
    <k n="Beta" t="i"/>
    <k n="High" t="i"/>
    <k n="Name" t="i"/>
    <k n="Open" t="i"/>
    <k n="Price" t="i"/>
    <k n="Change" t="i"/>
    <k n="Volume" t="i"/>
    <k n="Change (%)" t="i"/>
    <k n="Market cap" t="i"/>
    <k n="52 week low" t="i"/>
    <k n="52 week high" t="i"/>
    <k n="Expense ratio" t="i"/>
    <k n="Previous close" t="i"/>
    <k n="Last trade time" t="i"/>
    <k n="`%EntityServiceId" t="i"/>
  </s>
  <s>
    <k n="Price" t="s"/>
    <k n="Change" t="s"/>
    <k n="Change (%)" t="s"/>
    <k n="Last trade time" t="s"/>
  </s>
  <s>
    <k n="Price" t="s"/>
    <k n="Change" t="s"/>
    <k n="Change (%)" t="s"/>
    <k n="Last trade time" t="s"/>
    <k n="Price (Extended hours)" t="s"/>
    <k n="Change (Extended hours)" t="s"/>
    <k n="Change % (Extended hours)" t="s"/>
  </s>
  <s>
    <k n="Low" t="i"/>
    <k n="P/E" t="i"/>
    <k n="Beta" t="i"/>
    <k n="High" t="i"/>
    <k n="Name" t="i"/>
    <k n="Open" t="i"/>
    <k n="Price" t="i"/>
    <k n="Change" t="i"/>
    <k n="Volume" t="i"/>
    <k n="Employees" t="i"/>
    <k n="Change (%)" t="i"/>
    <k n="Market cap" t="i"/>
    <k n="52 week low" t="i"/>
    <k n="52 week high" t="i"/>
    <k n="Previous close" t="i"/>
    <k n="Volume average" t="i"/>
    <k n="Last trade time" t="i"/>
    <k n="`%EntityServiceId" t="i"/>
    <k n="Shares outstanding" t="i"/>
    <k n="Price (Extended hours)" t="i"/>
    <k n="Change (Extended hours)" t="i"/>
    <k n="Change % (Extended hours)" t="i"/>
  </s>
  <s>
    <k n="Low" t="i"/>
    <k n="Beta" t="i"/>
    <k n="High" t="i"/>
    <k n="Name" t="i"/>
    <k n="Open" t="i"/>
    <k n="Price" t="i"/>
    <k n="Change" t="i"/>
    <k n="Volume" t="i"/>
    <k n="Employees" t="i"/>
    <k n="Change (%)" t="i"/>
    <k n="Market cap" t="i"/>
    <k n="52 week low" t="i"/>
    <k n="52 week high" t="i"/>
    <k n="Previous close" t="i"/>
    <k n="Last trade time" t="i"/>
    <k n="Year incorporated" t="i"/>
    <k n="`%EntityServiceId" t="i"/>
    <k n="Shares outstanding" t="i"/>
    <k n="Price (Extended hours)" t="i"/>
    <k n="Change (Extended hours)" t="i"/>
    <k n="Change % (Extended hours)"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9">
    <x:dxf>
      <x:numFmt numFmtId="165" formatCode="_([$$-409]* #,##0.00_);_([$$-409]* \(#,##0.00\);_([$$-409]* &quot;-&quot;??_);_(@_)"/>
    </x:dxf>
    <x:dxf>
      <x:numFmt numFmtId="4" formatCode="#,##0.00"/>
    </x:dxf>
    <x:dxf>
      <x:numFmt numFmtId="3" formatCode="#,##0"/>
    </x:dxf>
    <x:dxf>
      <x:numFmt numFmtId="14" formatCode="0.00%"/>
    </x:dxf>
    <x:dxf>
      <x:numFmt numFmtId="27" formatCode="yyyy/mm/dd\ h:mm"/>
    </x:dxf>
    <x:dxf>
      <x:numFmt numFmtId="1" formatCode="0"/>
    </x:dxf>
    <x:dxf>
      <x:numFmt numFmtId="2" formatCode="0.00"/>
    </x:dxf>
    <x:dxf>
      <x:numFmt numFmtId="164" formatCode="_-[$$-C09]* #,##0_-;\-[$$-C09]* #,##0_-;_-[$$-C09]* &quot;-&quot;_-;_-@_-"/>
    </x:dxf>
    <x:dxf>
      <x:numFmt numFmtId="0" formatCode="General"/>
    </x:dxf>
  </dxfs>
  <richProperties>
    <rPr n="NumberFormat" t="s"/>
    <rPr n="IsTitleField" t="b"/>
    <rPr n="IsHeroField" t="b"/>
  </richProperties>
  <richStyles>
    <rSty dxfid="8">
      <rpv i="0">_([$$-en-US]* #,##0.00_);_([$$-en-US]* (#,##0.00);_([$$-en-US]* "-"??_);_(@_)</rpv>
    </rSty>
    <rSty dxfid="1">
      <rpv i="0">#,##0.00</rpv>
    </rSty>
    <rSty>
      <rpv i="1">1</rpv>
    </rSty>
    <rSty dxfid="2">
      <rpv i="0">#,##0</rpv>
    </rSty>
    <rSty dxfid="3"/>
    <rSty dxfid="8">
      <rpv i="0">_([$$-en-US]* #,##0_);_([$$-en-US]* (#,##0);_([$$-en-US]* "-"_);_(@_)</rpv>
    </rSty>
    <rSty dxfid="4"/>
    <rSty dxfid="5">
      <rpv i="0">0</rpv>
    </rSty>
    <rSty dxfid="6">
      <rpv i="0">0.00</rpv>
    </rSty>
    <rSty>
      <rpv i="2">1</rpv>
    </rSty>
    <rSty dxfid="8">
      <rpv i="0">_-[$$-en-CA]* #,##0.00_-;-[$$-en-CA]* #,##0.00_-;_-[$$-en-CA]* "-"??_-;_-@_-</rpv>
    </rSty>
    <rSty dxfid="8">
      <rpv i="0">_-[$$-en-CA]* #,##0_-;-[$$-en-CA]* #,##0_-;_-[$$-en-CA]* "-"_-;_-@_-</rpv>
    </rSty>
    <rSty dxfid="0"/>
    <rSty dxfid="1"/>
    <rSty dxfid="2"/>
    <rSty dxfid="7"/>
    <rSty dxfid="5"/>
    <rSty dxfid="6"/>
  </richStyles>
</richStyleShee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FBB54DF-9E42-4210-A7F5-37B2FB8C7A96}" name="tbl_OverallStats" displayName="tbl_OverallStats" ref="A6:H19" totalsRowShown="0">
  <autoFilter ref="A6:H19" xr:uid="{B61C7849-7A23-4A08-A63B-75E0E3D557B2}"/>
  <sortState xmlns:xlrd2="http://schemas.microsoft.com/office/spreadsheetml/2017/richdata2" ref="A7:H15">
    <sortCondition ref="B6:B15"/>
  </sortState>
  <tableColumns count="8">
    <tableColumn id="1" xr3:uid="{C0836A67-7018-444A-B083-736044CF0640}" name="#"/>
    <tableColumn id="2" xr3:uid="{6856B441-CF29-441E-89A2-363878153C7C}" name="Date"/>
    <tableColumn id="3" xr3:uid="{AD1E1454-D16E-4201-8264-403DCA2F7EE6}" name="5 Stock Theme"/>
    <tableColumn id="4" xr3:uid="{1054F61E-5E89-46E3-876B-E520B232F999}" name="% Change"/>
    <tableColumn id="5" xr3:uid="{3BE3B1FD-DFD8-4E90-BEA2-4E8DCCCFC682}" name="S&amp;P 500"/>
    <tableColumn id="6" xr3:uid="{70199F28-3298-460E-ABF0-6C0EB849E880}" name="v S&amp;P 500"/>
    <tableColumn id="7" xr3:uid="{3495E64C-EA19-4EC0-A9CD-A8DAB6A87158}" name="TSE 60"/>
    <tableColumn id="8" xr3:uid="{7D72A3AB-B11A-48A0-8377-87E8C4031CEF}" name="v TSE 60"/>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5DCF01B-0B8B-47A3-85EB-02E3E50BB0FD}" name="tbl_AI" displayName="tbl_AI" ref="A21:J52" totalsRowShown="0">
  <tableColumns count="10">
    <tableColumn id="1" xr3:uid="{B73CAE3A-3521-4217-84F7-4AC8EEB94133}" name="Company"/>
    <tableColumn id="4" xr3:uid="{3459077F-BDB4-4D22-9DA7-4D431BB2E365}" name="Ticker symbol">
      <calculatedColumnFormula array="1">_FV(tbl_AI[[#This Row],[Company]],"Ticker symbol",TRUE)</calculatedColumnFormula>
    </tableColumn>
    <tableColumn id="10" xr3:uid="{9FCA98BA-C8B3-42F4-A3B7-7F95DB3B1476}" name="Start Date"/>
    <tableColumn id="5" xr3:uid="{9EFA4602-7EB3-48D4-8FE5-4D5434660910}" name="Start Price" dataDxfId="183" dataCellStyle="Currency"/>
    <tableColumn id="6" xr3:uid="{3EA02D6A-656B-4F8A-A5DE-AF5073300221}" name="Price" dataDxfId="182" totalsRowDxfId="181">
      <calculatedColumnFormula array="1">_FV(tbl_AI[[#This Row],[Company]],"Price")</calculatedColumnFormula>
    </tableColumn>
    <tableColumn id="7" xr3:uid="{1927D89A-683F-4DC4-BAEF-344A787C6333}" name="% Change" dataDxfId="180" dataCellStyle="Percent">
      <calculatedColumnFormula>(tbl_AI[[#This Row],[Price]]-tbl_AI[[#This Row],[Start Price]])/tbl_AI[[#This Row],[Start Price]]</calculatedColumnFormula>
    </tableColumn>
    <tableColumn id="8" xr3:uid="{DCDFCEB8-A6E7-41B3-BAA0-7406B3F66B74}" name="S&amp;P 500" dataDxfId="179">
      <calculatedColumnFormula>$F$35</calculatedColumnFormula>
    </tableColumn>
    <tableColumn id="9" xr3:uid="{B789C166-D2A4-4B33-9B5F-BDFC3D5FACBC}" name="V S&amp;P 500" dataDxfId="178">
      <calculatedColumnFormula>tbl_AI[[#This Row],[% Change]]-tbl_AI[[#This Row],[S&amp;P 500]]</calculatedColumnFormula>
    </tableColumn>
    <tableColumn id="2" xr3:uid="{274726C6-1E21-465E-9A3E-DF0BFEFE974E}" name="TSX 60">
      <calculatedColumnFormula>#REF!</calculatedColumnFormula>
    </tableColumn>
    <tableColumn id="3" xr3:uid="{8825E40E-3D08-4E2C-AD4C-7D2E4D2B6475}" name="v TSX 60" dataDxfId="177">
      <calculatedColumnFormula>tbl_AI[[#This Row],[% Change]]-tbl_AI[[#This Row],[TSX 60]]</calculatedColumnFormula>
    </tableColumn>
  </tableColumns>
  <tableStyleInfo name="TableStyleMedium2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252875B-6D38-425D-B1C4-712EB36A3F22}" name="tbl_CashlessSociety" displayName="tbl_CashlessSociety" ref="A21:I28" totalsRowShown="0">
  <autoFilter ref="A21:I28"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059EA231-844E-4169-A3B2-820DB497F8F7}" name="Company"/>
    <tableColumn id="4" xr3:uid="{3ADBF7DD-BB4E-4A3B-BF2C-D0E7F0878F8F}" name="Ticker symbol">
      <calculatedColumnFormula array="1">_FV(tbl_CashlessSociety[[#This Row],[Company]],"Ticker symbol",TRUE)</calculatedColumnFormula>
    </tableColumn>
    <tableColumn id="5" xr3:uid="{07DD85AF-E689-4FB2-9326-21F1F28C0F58}" name="Start Price" dataDxfId="168" dataCellStyle="Currency"/>
    <tableColumn id="6" xr3:uid="{128EEDC1-B158-400B-90C2-46477B29EE9D}" name="Price" dataDxfId="167" totalsRowDxfId="166">
      <calculatedColumnFormula array="1">_FV(tbl_CashlessSociety[[#This Row],[Company]],"Price")</calculatedColumnFormula>
    </tableColumn>
    <tableColumn id="7" xr3:uid="{5AC62A68-EF83-4F31-BF4E-EA27BAD6E1F6}" name="% Change" dataDxfId="165" dataCellStyle="Percent">
      <calculatedColumnFormula>(tbl_CashlessSociety[[#This Row],[Price]]-tbl_CashlessSociety[[#This Row],[Start Price]])/tbl_CashlessSociety[[#This Row],[Start Price]]</calculatedColumnFormula>
    </tableColumn>
    <tableColumn id="8" xr3:uid="{7E9137D0-98C3-488D-B991-A445204A265A}" name="S&amp;P 500" dataDxfId="164">
      <calculatedColumnFormula>$E$27</calculatedColumnFormula>
    </tableColumn>
    <tableColumn id="9" xr3:uid="{91722B75-257F-42CB-ACD6-1DF76CC0E38B}" name="V S&amp;P 500" dataDxfId="163">
      <calculatedColumnFormula>tbl_CashlessSociety[[#This Row],[% Change]]-tbl_CashlessSociety[[#This Row],[S&amp;P 500]]</calculatedColumnFormula>
    </tableColumn>
    <tableColumn id="2" xr3:uid="{BB574088-3A83-442F-A458-831928D78DA8}" name="TSX 60">
      <calculatedColumnFormula>$E$28</calculatedColumnFormula>
    </tableColumn>
    <tableColumn id="3" xr3:uid="{03AD1665-1888-4B3B-A701-A344E4F076FC}" name="v TSX 60" dataDxfId="162">
      <calculatedColumnFormula>tbl_CashlessSociety[[#This Row],[% Change]]-tbl_CashlessSociety[[#This Row],[TSX 60]]</calculatedColumnFormula>
    </tableColumn>
  </tableColumns>
  <tableStyleInfo name="TableStyleMedium2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CFFD423-A4CE-4265-9E83-EB49FABDCA8E}" name="tbl_DigitalRevolution" displayName="tbl_DigitalRevolution" ref="A21:I28" totalsRowShown="0">
  <autoFilter ref="A21:I28"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5F0C9C19-09B6-48FD-92C6-358EF1731DF0}" name="Company"/>
    <tableColumn id="4" xr3:uid="{4482C4B3-7896-4F1C-8A8D-E8BF23C94702}" name="Ticker symbol">
      <calculatedColumnFormula array="1">_FV(tbl_DigitalRevolution[[#This Row],[Company]],"Ticker symbol",TRUE)</calculatedColumnFormula>
    </tableColumn>
    <tableColumn id="5" xr3:uid="{9EB238B0-88D1-4C93-822A-8459547C4B0A}" name="Start Price" dataDxfId="153" dataCellStyle="Currency"/>
    <tableColumn id="6" xr3:uid="{F757748C-5ACE-49C3-B19D-77EAE80DB6CD}" name="Price" dataDxfId="152" totalsRowDxfId="151">
      <calculatedColumnFormula array="1">_FV(tbl_DigitalRevolution[[#This Row],[Company]],"Price")</calculatedColumnFormula>
    </tableColumn>
    <tableColumn id="7" xr3:uid="{108A5648-89D0-4805-B802-3569C38438F0}" name="% Change" dataDxfId="150" dataCellStyle="Percent">
      <calculatedColumnFormula>(tbl_DigitalRevolution[[#This Row],[Price]]-tbl_DigitalRevolution[[#This Row],[Start Price]])/tbl_DigitalRevolution[[#This Row],[Start Price]]</calculatedColumnFormula>
    </tableColumn>
    <tableColumn id="8" xr3:uid="{8B6B365C-BA47-40CE-992B-8BB5042FC55C}" name="S&amp;P 500" dataDxfId="149">
      <calculatedColumnFormula>$E$27</calculatedColumnFormula>
    </tableColumn>
    <tableColumn id="9" xr3:uid="{8F74D0F7-0A98-4B4D-B9B9-2FB7C0999CC4}" name="V S&amp;P 500" dataDxfId="148">
      <calculatedColumnFormula>tbl_DigitalRevolution[[#This Row],[% Change]]-tbl_DigitalRevolution[[#This Row],[S&amp;P 500]]</calculatedColumnFormula>
    </tableColumn>
    <tableColumn id="2" xr3:uid="{846B51C7-9C27-4217-B4B0-F7A401E9521E}" name="TSX 60">
      <calculatedColumnFormula>$E$28</calculatedColumnFormula>
    </tableColumn>
    <tableColumn id="3" xr3:uid="{0049AA07-4CEA-4760-AC3C-28AFEFC5B7DD}" name="v TSX 60" dataDxfId="147">
      <calculatedColumnFormula>tbl_DigitalRevolution[[#This Row],[% Change]]-tbl_DigitalRevolution[[#This Row],[TSX 60]]</calculatedColumnFormula>
    </tableColumn>
  </tableColumns>
  <tableStyleInfo name="TableStyleMedium2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E67D6DE-F1F6-4D4F-97EB-FFA5F0EF6431}" name="tbl_CDNStarter" displayName="tbl_CDNStarter" ref="A21:I28" totalsRowShown="0">
  <autoFilter ref="A21:I28"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6DE8BB5E-93AB-4002-9E16-85ED684A19FC}" name="Company"/>
    <tableColumn id="4" xr3:uid="{9B2D0397-2500-4F84-830A-FE13C16A3CB6}" name="Ticker symbol">
      <calculatedColumnFormula array="1">_FV(tbl_CDNStarter[[#This Row],[Company]],"Ticker symbol",TRUE)</calculatedColumnFormula>
    </tableColumn>
    <tableColumn id="5" xr3:uid="{44035600-91F3-4185-99C3-87CCDA89D325}" name="Start Price" dataDxfId="136" dataCellStyle="Currency"/>
    <tableColumn id="6" xr3:uid="{2EDCFD80-D2A1-4769-9F45-0AB6DF04A308}" name="Price" dataDxfId="135" totalsRowDxfId="134">
      <calculatedColumnFormula array="1">_FV(tbl_CDNStarter[[#This Row],[Company]],"Price")</calculatedColumnFormula>
    </tableColumn>
    <tableColumn id="7" xr3:uid="{E4B70EC6-1E82-42A0-BD28-96BD0FF92A7D}" name="% Change" dataDxfId="133" dataCellStyle="Percent">
      <calculatedColumnFormula>(tbl_CDNStarter[[#This Row],[Price]]-tbl_CDNStarter[[#This Row],[Start Price]])/tbl_CDNStarter[[#This Row],[Start Price]]</calculatedColumnFormula>
    </tableColumn>
    <tableColumn id="8" xr3:uid="{2A522295-1832-4A66-88DC-777522079C58}" name="S&amp;P 500" dataDxfId="132">
      <calculatedColumnFormula>$E$27</calculatedColumnFormula>
    </tableColumn>
    <tableColumn id="9" xr3:uid="{E9F21AB9-9768-4FD7-9DCE-0B6FCF3968F4}" name="V S&amp;P 500" dataDxfId="131">
      <calculatedColumnFormula>tbl_CDNStarter[[#This Row],[% Change]]-tbl_CDNStarter[[#This Row],[S&amp;P 500]]</calculatedColumnFormula>
    </tableColumn>
    <tableColumn id="2" xr3:uid="{A0402E91-928D-45C0-9924-7C0AAA1B2CD2}" name="TSX 60">
      <calculatedColumnFormula>$E$28</calculatedColumnFormula>
    </tableColumn>
    <tableColumn id="3" xr3:uid="{9D46B92A-C5D1-4AB5-92FB-154C3E4119F3}" name="v TSX 60" dataDxfId="130">
      <calculatedColumnFormula>tbl_CDNStarter[[#This Row],[% Change]]-tbl_CDNStarter[[#This Row],[TSX 60]]</calculatedColumnFormula>
    </tableColumn>
  </tableColumns>
  <tableStyleInfo name="TableStyleMedium2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3ED9930-80BC-4297-88E6-78530F351365}" name="tbl_GoneToTheAnimals" displayName="tbl_GoneToTheAnimals" ref="A21:I30" totalsRowShown="0">
  <autoFilter ref="A21:I30"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8789926E-23E7-4DB8-A1AB-5B33030B1BCB}" name="Company"/>
    <tableColumn id="4" xr3:uid="{D73249C0-6500-4AB6-9781-AA6737AB33C7}" name="Ticker symbol">
      <calculatedColumnFormula array="1">_FV(tbl_GoneToTheAnimals[[#This Row],[Company]],"Ticker symbol",TRUE)</calculatedColumnFormula>
    </tableColumn>
    <tableColumn id="5" xr3:uid="{4AEE30E1-830F-40E0-BB6E-CE47E68495ED}" name="Start Price" dataDxfId="123" dataCellStyle="Currency"/>
    <tableColumn id="6" xr3:uid="{59BE97F4-E7A2-4E7B-92A6-A5112181BB15}" name="Price" dataDxfId="122" totalsRowDxfId="121">
      <calculatedColumnFormula array="1">_FV(tbl_GoneToTheAnimals[[#This Row],[Company]],"Price")</calculatedColumnFormula>
    </tableColumn>
    <tableColumn id="7" xr3:uid="{EBAAE048-C859-47FC-883F-25CE14F9267D}" name="% Change" dataDxfId="120" dataCellStyle="Percent">
      <calculatedColumnFormula>(tbl_GoneToTheAnimals[[#This Row],[Price]]-tbl_GoneToTheAnimals[[#This Row],[Start Price]])/tbl_GoneToTheAnimals[[#This Row],[Start Price]]</calculatedColumnFormula>
    </tableColumn>
    <tableColumn id="8" xr3:uid="{1FFD9CFB-4345-4ED3-877C-3B8EE76EBE54}" name="S&amp;P 500" dataDxfId="119">
      <calculatedColumnFormula>$E$29</calculatedColumnFormula>
    </tableColumn>
    <tableColumn id="9" xr3:uid="{5AA39AF9-4849-487E-B31B-3C3495C0FB0D}" name="V S&amp;P 500" dataDxfId="118">
      <calculatedColumnFormula>tbl_GoneToTheAnimals[[#This Row],[% Change]]-tbl_GoneToTheAnimals[[#This Row],[S&amp;P 500]]</calculatedColumnFormula>
    </tableColumn>
    <tableColumn id="2" xr3:uid="{AF790975-5D8D-4E9A-8987-F3DA6313E6CA}" name="TSX 60">
      <calculatedColumnFormula>$E$30</calculatedColumnFormula>
    </tableColumn>
    <tableColumn id="3" xr3:uid="{9CE8FB89-A1EE-4CA3-B33D-38B11999AA75}" name="v TSX 60" dataDxfId="117">
      <calculatedColumnFormula>tbl_GoneToTheAnimals[[#This Row],[% Change]]-tbl_GoneToTheAnimals[[#This Row],[TSX 60]]</calculatedColumnFormula>
    </tableColumn>
  </tableColumns>
  <tableStyleInfo name="TableStyleMedium2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BA2DC04-BB13-4C60-90DA-6A7913075D99}" name="tbl_CdnTechs" displayName="tbl_CdnTechs" ref="A21:I31" totalsRowShown="0">
  <autoFilter ref="A21:I31"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09425CB8-A8A3-4974-B66C-62C5D43AFA8D}" name="Company"/>
    <tableColumn id="4" xr3:uid="{8705B1B3-1FD2-42BE-8535-C6ED3E72DA4C}" name="Ticker symbol">
      <calculatedColumnFormula array="1">_FV(tbl_CdnTechs[[#This Row],[Company]],"Ticker symbol",TRUE)</calculatedColumnFormula>
    </tableColumn>
    <tableColumn id="5" xr3:uid="{38EB1F14-E5DB-445B-9EA4-9DC67041EA47}" name="Start Price" dataDxfId="110" dataCellStyle="Currency"/>
    <tableColumn id="6" xr3:uid="{14CC3F73-6BA5-495D-BF87-2981835454BD}" name="Price" dataDxfId="109" totalsRowDxfId="108">
      <calculatedColumnFormula array="1">_FV(tbl_CdnTechs[[#This Row],[Company]],"Price")</calculatedColumnFormula>
    </tableColumn>
    <tableColumn id="7" xr3:uid="{6781846D-8C65-4B75-8721-CDCC9701365E}" name="% Change" dataDxfId="107" dataCellStyle="Percent">
      <calculatedColumnFormula>(tbl_CdnTechs[[#This Row],[Price]]-tbl_CdnTechs[[#This Row],[Start Price]])/tbl_CdnTechs[[#This Row],[Start Price]]</calculatedColumnFormula>
    </tableColumn>
    <tableColumn id="8" xr3:uid="{16105D29-96A3-47F1-828C-92B734EFF7C8}" name="S&amp;P 500" dataDxfId="106">
      <calculatedColumnFormula>$E$30</calculatedColumnFormula>
    </tableColumn>
    <tableColumn id="9" xr3:uid="{14ED3D18-7E8A-4942-8BF1-0B97E6F07DB0}" name="V S&amp;P 500" dataDxfId="105">
      <calculatedColumnFormula>tbl_CdnTechs[[#This Row],[% Change]]-tbl_CdnTechs[[#This Row],[S&amp;P 500]]</calculatedColumnFormula>
    </tableColumn>
    <tableColumn id="2" xr3:uid="{2F1B8010-9E9A-46C5-9003-BE52D521BC30}" name="TSX 60">
      <calculatedColumnFormula>$E$31</calculatedColumnFormula>
    </tableColumn>
    <tableColumn id="3" xr3:uid="{AED3D7FE-D256-4CCA-ACD2-DA0A988CB720}" name="v TSX 60" dataDxfId="104">
      <calculatedColumnFormula>tbl_CdnTechs[[#This Row],[% Change]]-tbl_CdnTechs[[#This Row],[TSX 60]]</calculatedColumnFormula>
    </tableColumn>
  </tableColumns>
  <tableStyleInfo name="TableStyleMedium2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B9885EB-74ED-4497-A42F-4D36E49253C1}" name="tbl_GreenRevolution" displayName="tbl_GreenRevolution" ref="A21:I28" totalsRowShown="0">
  <autoFilter ref="A21:I28"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EC4549D6-BCD9-44D2-B44F-CA0F3E696EA0}" name="Company"/>
    <tableColumn id="4" xr3:uid="{58AC4BA6-8258-486E-89E7-13EB7C608BB1}" name="Ticker symbol">
      <calculatedColumnFormula array="1">_FV(tbl_GreenRevolution[[#This Row],[Company]],"Ticker symbol",TRUE)</calculatedColumnFormula>
    </tableColumn>
    <tableColumn id="5" xr3:uid="{9669C958-3EFD-4F5A-B387-1CCBE0668879}" name="Start Price" dataDxfId="95" dataCellStyle="Currency"/>
    <tableColumn id="6" xr3:uid="{412310E8-90C6-4C33-93C1-9E4DE42D32FA}" name="Price" dataDxfId="94" totalsRowDxfId="93">
      <calculatedColumnFormula array="1">_FV(tbl_GreenRevolution[[#This Row],[Company]],"Price")</calculatedColumnFormula>
    </tableColumn>
    <tableColumn id="7" xr3:uid="{8D05F2B9-7D72-4157-B4A7-A78AD83F2FE6}" name="% Change" dataDxfId="92" dataCellStyle="Percent">
      <calculatedColumnFormula>(tbl_GreenRevolution[[#This Row],[Price]]-tbl_GreenRevolution[[#This Row],[Start Price]])/tbl_GreenRevolution[[#This Row],[Start Price]]</calculatedColumnFormula>
    </tableColumn>
    <tableColumn id="8" xr3:uid="{9A3412AB-3D36-44AC-B75F-3E5327F7C738}" name="S&amp;P 500" dataDxfId="91">
      <calculatedColumnFormula>$E$27</calculatedColumnFormula>
    </tableColumn>
    <tableColumn id="9" xr3:uid="{6709204A-A2D6-4E50-B60E-DD34F0F8C4FD}" name="V S&amp;P 500" dataDxfId="90">
      <calculatedColumnFormula>tbl_GreenRevolution[[#This Row],[% Change]]-tbl_GreenRevolution[[#This Row],[S&amp;P 500]]</calculatedColumnFormula>
    </tableColumn>
    <tableColumn id="2" xr3:uid="{EBFF64F9-7642-4E24-9B3D-D52E28F11DED}" name="TSX 60">
      <calculatedColumnFormula>$E$28</calculatedColumnFormula>
    </tableColumn>
    <tableColumn id="3" xr3:uid="{4A83187C-2D5B-4E79-93D7-8ED555B4D6BC}" name="v TSX 60" dataDxfId="89">
      <calculatedColumnFormula>tbl_GreenRevolution[[#This Row],[% Change]]-tbl_GreenRevolution[[#This Row],[TSX 60]]</calculatedColumnFormula>
    </tableColumn>
  </tableColumns>
  <tableStyleInfo name="TableStyleMedium2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70EE2B8-993A-47C9-87B3-057AD47FC513}" name="tbl_ElectricVehicles" displayName="tbl_ElectricVehicles" ref="A21:I28" totalsRowShown="0">
  <autoFilter ref="A21:I28"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73B0256E-11DD-4E82-A29A-80A8A617E6CA}" name="Company"/>
    <tableColumn id="4" xr3:uid="{965F9FEA-8409-4BB9-B16A-CD07BC18961B}" name="Ticker symbol">
      <calculatedColumnFormula array="1">_FV(tbl_ElectricVehicles[[#This Row],[Company]],"Ticker symbol",TRUE)</calculatedColumnFormula>
    </tableColumn>
    <tableColumn id="5" xr3:uid="{F49068FE-A01C-4FF8-9009-6C3FBD3D82A1}" name="Start Price" dataDxfId="80" dataCellStyle="Currency"/>
    <tableColumn id="6" xr3:uid="{0924D79D-6BA4-4D71-B4AB-CF6B25D3AD6C}" name="Price" dataDxfId="79" totalsRowDxfId="78">
      <calculatedColumnFormula array="1">_FV(tbl_ElectricVehicles[[#This Row],[Company]],"Price")</calculatedColumnFormula>
    </tableColumn>
    <tableColumn id="7" xr3:uid="{D947A872-6E2C-4962-8F9A-972079BDA7B3}" name="% Change" dataDxfId="77" dataCellStyle="Percent">
      <calculatedColumnFormula>(tbl_ElectricVehicles[[#This Row],[Price]]-tbl_ElectricVehicles[[#This Row],[Start Price]])/tbl_ElectricVehicles[[#This Row],[Start Price]]</calculatedColumnFormula>
    </tableColumn>
    <tableColumn id="8" xr3:uid="{88712F2E-3A0B-4527-AF36-1D94F47FD134}" name="S&amp;P 500" dataDxfId="76">
      <calculatedColumnFormula>$E$27</calculatedColumnFormula>
    </tableColumn>
    <tableColumn id="9" xr3:uid="{90A93194-2C59-4752-9DFD-278CEF2A4DD2}" name="V S&amp;P 500" dataDxfId="75">
      <calculatedColumnFormula>tbl_ElectricVehicles[[#This Row],[% Change]]-tbl_ElectricVehicles[[#This Row],[S&amp;P 500]]</calculatedColumnFormula>
    </tableColumn>
    <tableColumn id="2" xr3:uid="{F744FD42-58F2-4AEF-B17C-D2F89E7CC1B3}" name="TSX 60">
      <calculatedColumnFormula>$E$28</calculatedColumnFormula>
    </tableColumn>
    <tableColumn id="3" xr3:uid="{721C06C0-417D-4E25-99F9-30E255B9DC9F}" name="v TSX 60" dataDxfId="74">
      <calculatedColumnFormula>tbl_ElectricVehicles[[#This Row],[% Change]]-tbl_ElectricVehicles[[#This Row],[TSX 60]]</calculatedColumnFormula>
    </tableColumn>
  </tableColumns>
  <tableStyleInfo name="TableStyleMedium2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5FB26EC8-E861-4F15-8D38-80B26AF97E36}" name="tbl_BuyNowPayLater" displayName="tbl_BuyNowPayLater" ref="A21:J28" totalsRowShown="0">
  <autoFilter ref="A21:J28"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88EA2801-56B9-41C1-9EDC-7708F5CA8E77}" name="Company"/>
    <tableColumn id="5" xr3:uid="{2AABC476-DD12-4CA2-A8C8-9E3D999B837D}" name="Start Price" dataCellStyle="Currency"/>
    <tableColumn id="4" xr3:uid="{0EDA0A49-FF11-4A68-B729-876E5F3B19EA}" name="Ticker">
      <calculatedColumnFormula array="1">_FV(tbl_BuyNowPayLater[[#This Row],[Company]],"Ticker symbol",TRUE)</calculatedColumnFormula>
    </tableColumn>
    <tableColumn id="10" xr3:uid="{39FAC01E-611E-42BA-B08B-49E63EB89F89}" name="Currency" dataDxfId="63">
      <calculatedColumnFormula array="1">_FV(tbl_BuyNowPayLater[[#This Row],[Company]],"Currency")</calculatedColumnFormula>
    </tableColumn>
    <tableColumn id="6" xr3:uid="{8AC82F07-6540-4B83-AC98-E96B31A75B25}" name="Current Price" totalsRowDxfId="62" dataCellStyle="Currency">
      <calculatedColumnFormula array="1">_FV(tbl_BuyNowPayLater[[#This Row],[Company]],"Price")</calculatedColumnFormula>
    </tableColumn>
    <tableColumn id="7" xr3:uid="{AC036D47-8D53-4AE4-B81F-6B8249BF2345}" name="% Change" dataDxfId="61" dataCellStyle="Percent">
      <calculatedColumnFormula>(tbl_BuyNowPayLater[[#This Row],[Current Price]]-tbl_BuyNowPayLater[[#This Row],[Start Price]])/tbl_BuyNowPayLater[[#This Row],[Start Price]]</calculatedColumnFormula>
    </tableColumn>
    <tableColumn id="8" xr3:uid="{71B20800-697D-493D-A3B3-CCE52FB7B5ED}" name="S&amp;P 500" dataDxfId="60">
      <calculatedColumnFormula>$F$27</calculatedColumnFormula>
    </tableColumn>
    <tableColumn id="9" xr3:uid="{00A76766-1297-40ED-AF7A-52843CFA454A}" name="V S&amp;P 500" dataDxfId="59">
      <calculatedColumnFormula>tbl_BuyNowPayLater[[#This Row],[% Change]]-tbl_BuyNowPayLater[[#This Row],[S&amp;P 500]]</calculatedColumnFormula>
    </tableColumn>
    <tableColumn id="2" xr3:uid="{41335C71-79F5-4E4B-8F42-C520F746B342}" name="TSX 60">
      <calculatedColumnFormula>$F$28</calculatedColumnFormula>
    </tableColumn>
    <tableColumn id="3" xr3:uid="{1501ACEE-4FA1-4912-918F-97C032DF0D36}" name="v TSX 60" dataDxfId="58">
      <calculatedColumnFormula>tbl_BuyNowPayLater[[#This Row],[% Change]]-tbl_BuyNowPayLater[[#This Row],[TSX 60]]</calculatedColumnFormula>
    </tableColumn>
  </tableColumns>
  <tableStyleInfo name="TableStyleMedium2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F39DD6F5-FCEE-4CEE-AD76-1F73D5D375DA}" name="tbl_ForTheConsumer" displayName="tbl_ForTheConsumer" ref="A21:I28" totalsRowShown="0">
  <autoFilter ref="A21:I28"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0CF6FCD5-DB0E-45FB-A38B-92684DDE82D1}" name="Company"/>
    <tableColumn id="4" xr3:uid="{442F4C98-888E-4017-A150-80B7AB0C084A}" name="Ticker symbol">
      <calculatedColumnFormula array="1">_FV(tbl_ForTheConsumer[[#This Row],[Company]],"Ticker symbol",TRUE)</calculatedColumnFormula>
    </tableColumn>
    <tableColumn id="5" xr3:uid="{4BC10C58-082A-492E-83BA-D4DF8E4392C7}" name="Start Price" dataDxfId="49" dataCellStyle="Currency"/>
    <tableColumn id="6" xr3:uid="{6839DD21-5ED1-4890-869D-517815DF53EE}" name="Price" dataDxfId="48" totalsRowDxfId="47">
      <calculatedColumnFormula array="1">_FV(tbl_ForTheConsumer[[#This Row],[Company]],"Price")</calculatedColumnFormula>
    </tableColumn>
    <tableColumn id="7" xr3:uid="{7C1E9304-94B9-4239-A603-C10769B57128}" name="% Change" dataDxfId="46" dataCellStyle="Percent">
      <calculatedColumnFormula>(tbl_ForTheConsumer[[#This Row],[Price]]-tbl_ForTheConsumer[[#This Row],[Start Price]])/tbl_ForTheConsumer[[#This Row],[Start Price]]</calculatedColumnFormula>
    </tableColumn>
    <tableColumn id="8" xr3:uid="{167C22C9-0687-49F5-91B6-88DFA18F64DE}" name="S&amp;P 500" dataDxfId="45">
      <calculatedColumnFormula>$E$27</calculatedColumnFormula>
    </tableColumn>
    <tableColumn id="9" xr3:uid="{928C1654-1086-46BE-BC7C-4C35DCA1D77B}" name="V S&amp;P 500" dataDxfId="44">
      <calculatedColumnFormula>tbl_ForTheConsumer[[#This Row],[% Change]]-tbl_ForTheConsumer[[#This Row],[S&amp;P 500]]</calculatedColumnFormula>
    </tableColumn>
    <tableColumn id="2" xr3:uid="{EEE33B78-DBED-4500-A2AF-87978F079106}" name="TSX 60">
      <calculatedColumnFormula>$E$28</calculatedColumnFormula>
    </tableColumn>
    <tableColumn id="3" xr3:uid="{1A019BCF-1EC3-4E40-AB20-4FFF0F96C3BC}" name="v TSX 60" dataDxfId="43">
      <calculatedColumnFormula>tbl_ForTheConsumer[[#This Row],[% Change]]-tbl_ForTheConsumer[[#This Row],[TSX 60]]</calculatedColumnFormula>
    </tableColumn>
  </tableColumns>
  <tableStyleInfo name="TableStyleMedium2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30677D59-90DE-407A-B0C2-AC27FBD4706F}" name="tbl_GetOutAndGo" displayName="tbl_GetOutAndGo" ref="A21:I28" totalsRowShown="0">
  <autoFilter ref="A21:I28"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86138D62-40FB-45D0-919F-E9B4E2733B2F}" name="Company"/>
    <tableColumn id="4" xr3:uid="{D78B67E7-F335-4D15-ABD3-39453C8BE6C1}" name="Ticker symbol">
      <calculatedColumnFormula array="1">_FV(tbl_GetOutAndGo[[#This Row],[Company]],"Ticker symbol",TRUE)</calculatedColumnFormula>
    </tableColumn>
    <tableColumn id="5" xr3:uid="{C7350E34-E90B-4F52-8546-C5F0B6513EF8}" name="Start Price" dataDxfId="34" dataCellStyle="Currency"/>
    <tableColumn id="6" xr3:uid="{A915DB42-B7FA-4F3E-8727-29D3C7B8F679}" name="Price" dataDxfId="33" totalsRowDxfId="32">
      <calculatedColumnFormula array="1">_FV(tbl_GetOutAndGo[[#This Row],[Company]],"Price")</calculatedColumnFormula>
    </tableColumn>
    <tableColumn id="7" xr3:uid="{89DF402E-A0DB-40F2-A86C-E6DD18DF3C33}" name="% Change" dataDxfId="31" dataCellStyle="Percent">
      <calculatedColumnFormula>(tbl_GetOutAndGo[[#This Row],[Price]]-tbl_GetOutAndGo[[#This Row],[Start Price]])/tbl_GetOutAndGo[[#This Row],[Start Price]]</calculatedColumnFormula>
    </tableColumn>
    <tableColumn id="8" xr3:uid="{F6120145-A9FE-4537-9D8E-834AE6B2EBB7}" name="S&amp;P 500" dataDxfId="30">
      <calculatedColumnFormula>$E$27</calculatedColumnFormula>
    </tableColumn>
    <tableColumn id="9" xr3:uid="{A4F9D7B5-1DD4-4B56-968B-0F580C7D1BAC}" name="V S&amp;P 500" dataDxfId="29">
      <calculatedColumnFormula>tbl_GetOutAndGo[[#This Row],[% Change]]-tbl_GetOutAndGo[[#This Row],[S&amp;P 500]]</calculatedColumnFormula>
    </tableColumn>
    <tableColumn id="2" xr3:uid="{CB8DE5FC-3905-4F77-8867-14C8920FA093}" name="TSX 60">
      <calculatedColumnFormula>$E$28</calculatedColumnFormula>
    </tableColumn>
    <tableColumn id="3" xr3:uid="{87F47515-2EA7-46E2-AA43-B64002D3A82D}" name="v TSX 60" dataDxfId="28">
      <calculatedColumnFormula>tbl_GetOutAndGo[[#This Row],[% Change]]-tbl_GetOutAndGo[[#This Row],[TSX 60]]</calculatedColumnFormula>
    </tableColumn>
  </tableColumns>
  <tableStyleInfo name="TableStyleMedium2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C54A582-0DDD-4764-8D88-DBFF317A4864}" name="tbl_USInfrastructure" displayName="tbl_USInfrastructure" ref="A21:I29" totalsRowShown="0">
  <autoFilter ref="A21:I29"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A72BE21C-EE5C-4A55-A6D4-998C94FED598}" name="Company"/>
    <tableColumn id="4" xr3:uid="{06E34BAE-185C-4A45-8839-EE2756979E0A}" name="Ticker symbol">
      <calculatedColumnFormula array="1">_FV(tbl_USInfrastructure[[#This Row],[Company]],"Ticker symbol",TRUE)</calculatedColumnFormula>
    </tableColumn>
    <tableColumn id="5" xr3:uid="{46B1A4EC-288F-4874-AC8D-4878881F8331}" name="Start Price" dataDxfId="21" dataCellStyle="Currency"/>
    <tableColumn id="6" xr3:uid="{D3232597-0EA3-4A61-8B97-531284A60FF7}" name="Price" dataDxfId="20" totalsRowDxfId="19">
      <calculatedColumnFormula array="1">_FV(tbl_USInfrastructure[[#This Row],[Company]],"Price")</calculatedColumnFormula>
    </tableColumn>
    <tableColumn id="7" xr3:uid="{3AAB76A1-6E95-4996-B674-6A7D3CCCD782}" name="% Change" dataDxfId="18" dataCellStyle="Percent">
      <calculatedColumnFormula>(tbl_USInfrastructure[[#This Row],[Price]]-tbl_USInfrastructure[[#This Row],[Start Price]])/tbl_USInfrastructure[[#This Row],[Start Price]]</calculatedColumnFormula>
    </tableColumn>
    <tableColumn id="8" xr3:uid="{518CADA5-180E-462C-9AA3-AFDC0039D585}" name="S&amp;P 500" dataDxfId="17">
      <calculatedColumnFormula>$E$28</calculatedColumnFormula>
    </tableColumn>
    <tableColumn id="9" xr3:uid="{67D3A190-C1A9-4A58-A8CD-309AE57DE403}" name="V S&amp;P 500" dataDxfId="16">
      <calculatedColumnFormula>tbl_USInfrastructure[[#This Row],[% Change]]-tbl_USInfrastructure[[#This Row],[S&amp;P 500]]</calculatedColumnFormula>
    </tableColumn>
    <tableColumn id="2" xr3:uid="{86A68CCC-482B-4DDE-9D9D-BC655956574C}" name="TSX 60">
      <calculatedColumnFormula>$E$29</calculatedColumnFormula>
    </tableColumn>
    <tableColumn id="3" xr3:uid="{50D6EB06-BE0C-427E-9B67-F97020A64D01}" name="v TSX 60" dataDxfId="15">
      <calculatedColumnFormula>tbl_USInfrastructure[[#This Row],[% Change]]-tbl_USInfrastructure[[#This Row],[TSX 60]]</calculatedColumnFormula>
    </tableColumn>
  </tableColumns>
  <tableStyleInfo name="TableStyleMedium2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E127BD1B-DD5C-4ABE-B6E6-2F15050D571E}" name="tbl_Copper" displayName="tbl_Copper" ref="A21:I29" totalsRowShown="0">
  <autoFilter ref="A21:I29" xr:uid="{F391AFCA-44BF-4A21-8FD0-75053EFB89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2845B6FC-3918-441B-9897-5FD05B22761E}" name="Company"/>
    <tableColumn id="4" xr3:uid="{0F32B26B-24E3-45BA-80B3-00555F59429D}" name="Ticker symbol" dataDxfId="6">
      <calculatedColumnFormula array="1">_FV(tbl_Copper[[#This Row],[Company]],"Ticker symbol",TRUE)</calculatedColumnFormula>
    </tableColumn>
    <tableColumn id="5" xr3:uid="{FD833886-203C-4574-8B25-28299083ADFA}" name="Start Price" dataDxfId="5" dataCellStyle="Currency"/>
    <tableColumn id="6" xr3:uid="{290460DE-476A-4543-A51A-01E806B180AD}" name="Price" dataDxfId="4">
      <calculatedColumnFormula array="1">_FV(tbl_Copper[[#This Row],[Company]],"Price")</calculatedColumnFormula>
    </tableColumn>
    <tableColumn id="7" xr3:uid="{95E3FA38-37B9-4068-820F-12037C5837A9}" name="% Change" dataDxfId="3" dataCellStyle="Percent">
      <calculatedColumnFormula>(tbl_Copper[[#This Row],[Price]]-tbl_Copper[[#This Row],[Start Price]])/tbl_Copper[[#This Row],[Start Price]]</calculatedColumnFormula>
    </tableColumn>
    <tableColumn id="8" xr3:uid="{0F4B0583-1276-4914-9A5D-0AE538476F7B}" name="S&amp;P 500" dataDxfId="2">
      <calculatedColumnFormula>$E$28</calculatedColumnFormula>
    </tableColumn>
    <tableColumn id="9" xr3:uid="{00B0F559-EDA5-47DA-854E-4DA11EF6EB4E}" name="V S&amp;P 500" dataDxfId="1">
      <calculatedColumnFormula>tbl_Copper[[#This Row],[% Change]]-tbl_Copper[[#This Row],[S&amp;P 500]]</calculatedColumnFormula>
    </tableColumn>
    <tableColumn id="2" xr3:uid="{60FE583C-6621-4468-85DA-0B78D7AE0A5C}" name="TSX 60">
      <calculatedColumnFormula>$E$29</calculatedColumnFormula>
    </tableColumn>
    <tableColumn id="3" xr3:uid="{3EAD63B6-4E7A-47CC-A84A-056F56B18D25}" name="v TSX 60" dataDxfId="0">
      <calculatedColumnFormula>tbl_Copper[[#This Row],[% Change]]-tbl_Copper[[#This Row],[TSX 60]]</calculatedColumnFormula>
    </tableColumn>
  </tableColumns>
  <tableStyleInfo name="TableStyleMedium2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FAFCF-7D1C-4789-B590-09CCCBA46649}">
  <dimension ref="A1:B11"/>
  <sheetViews>
    <sheetView workbookViewId="0">
      <selection activeCell="D7" sqref="D7"/>
    </sheetView>
  </sheetViews>
  <sheetFormatPr defaultRowHeight="15" x14ac:dyDescent="0.25"/>
  <cols>
    <col min="1" max="1" width="11.42578125" bestFit="1" customWidth="1"/>
    <col min="2" max="2" width="66.140625" customWidth="1"/>
  </cols>
  <sheetData>
    <row r="1" spans="1:2" ht="30" x14ac:dyDescent="0.25">
      <c r="A1" s="27" t="s">
        <v>52</v>
      </c>
      <c r="B1" s="28" t="s">
        <v>54</v>
      </c>
    </row>
    <row r="2" spans="1:2" x14ac:dyDescent="0.25">
      <c r="A2" s="27"/>
      <c r="B2" s="28"/>
    </row>
    <row r="3" spans="1:2" x14ac:dyDescent="0.25">
      <c r="B3" s="29"/>
    </row>
    <row r="4" spans="1:2" ht="30" x14ac:dyDescent="0.25">
      <c r="A4" s="30" t="s">
        <v>53</v>
      </c>
      <c r="B4" s="31"/>
    </row>
    <row r="5" spans="1:2" ht="30" x14ac:dyDescent="0.25">
      <c r="A5" s="32">
        <v>1</v>
      </c>
      <c r="B5" s="28" t="s">
        <v>55</v>
      </c>
    </row>
    <row r="6" spans="1:2" ht="30" x14ac:dyDescent="0.25">
      <c r="A6" s="32">
        <v>2</v>
      </c>
      <c r="B6" s="28" t="s">
        <v>56</v>
      </c>
    </row>
    <row r="7" spans="1:2" ht="30" x14ac:dyDescent="0.25">
      <c r="A7" s="32">
        <v>3</v>
      </c>
      <c r="B7" s="28" t="s">
        <v>57</v>
      </c>
    </row>
    <row r="8" spans="1:2" ht="45" x14ac:dyDescent="0.25">
      <c r="A8" s="32">
        <v>4</v>
      </c>
      <c r="B8" s="28" t="s">
        <v>58</v>
      </c>
    </row>
    <row r="9" spans="1:2" ht="30" x14ac:dyDescent="0.25">
      <c r="A9" s="32">
        <v>5</v>
      </c>
      <c r="B9" s="28" t="s">
        <v>59</v>
      </c>
    </row>
    <row r="11" spans="1:2" ht="30" x14ac:dyDescent="0.25">
      <c r="B11" s="33" t="s">
        <v>60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CEB13-3EFB-4771-BB88-F3706AB4F2FE}">
  <dimension ref="A1:H19"/>
  <sheetViews>
    <sheetView tabSelected="1" workbookViewId="0">
      <selection sqref="A1:H1"/>
    </sheetView>
  </sheetViews>
  <sheetFormatPr defaultRowHeight="15" x14ac:dyDescent="0.25"/>
  <cols>
    <col min="2" max="2" width="10.42578125" bestFit="1" customWidth="1"/>
    <col min="3" max="3" width="31.42578125" bestFit="1" customWidth="1"/>
    <col min="4" max="4" width="11.7109375" customWidth="1"/>
    <col min="5" max="5" width="9.42578125" customWidth="1"/>
    <col min="6" max="6" width="12.5703125" customWidth="1"/>
  </cols>
  <sheetData>
    <row r="1" spans="1:8" ht="18.75" x14ac:dyDescent="0.3">
      <c r="A1" s="35" t="s">
        <v>24</v>
      </c>
      <c r="B1" s="35"/>
      <c r="C1" s="35"/>
      <c r="D1" s="35"/>
      <c r="E1" s="35"/>
      <c r="F1" s="35"/>
      <c r="G1" s="35"/>
      <c r="H1" s="35"/>
    </row>
    <row r="3" spans="1:8" x14ac:dyDescent="0.25">
      <c r="A3" s="34" t="s">
        <v>10</v>
      </c>
      <c r="B3" s="34"/>
      <c r="C3" s="34"/>
      <c r="D3" s="12" t="s">
        <v>5</v>
      </c>
      <c r="E3" s="12" t="s">
        <v>12</v>
      </c>
      <c r="F3" s="12" t="s">
        <v>13</v>
      </c>
      <c r="G3" s="12" t="s">
        <v>22</v>
      </c>
      <c r="H3" s="12" t="s">
        <v>23</v>
      </c>
    </row>
    <row r="4" spans="1:8" x14ac:dyDescent="0.25">
      <c r="A4" s="11"/>
      <c r="B4" s="11"/>
      <c r="C4" s="11"/>
      <c r="D4" s="8">
        <f>AVERAGE(tbl_OverallStats[% Change])</f>
        <v>-0.12342267568963729</v>
      </c>
      <c r="E4" s="8">
        <f>AVERAGE(tbl_OverallStats[S&amp;P 500])</f>
        <v>0.10669450348324418</v>
      </c>
      <c r="F4" s="8">
        <f>AVERAGE(tbl_OverallStats[v S&amp;P 500])</f>
        <v>-0.23011717917288146</v>
      </c>
      <c r="G4" s="8">
        <f>AVERAGE(tbl_OverallStats[TSE 60])</f>
        <v>9.5348951071175816E-2</v>
      </c>
      <c r="H4" s="8">
        <f>AVERAGE(tbl_OverallStats[v TSE 60])</f>
        <v>-0.2187716267608131</v>
      </c>
    </row>
    <row r="6" spans="1:8" x14ac:dyDescent="0.25">
      <c r="A6" t="s">
        <v>7</v>
      </c>
      <c r="B6" t="s">
        <v>8</v>
      </c>
      <c r="C6" t="s">
        <v>9</v>
      </c>
      <c r="D6" t="s">
        <v>5</v>
      </c>
      <c r="E6" t="s">
        <v>12</v>
      </c>
      <c r="F6" t="s">
        <v>16</v>
      </c>
      <c r="G6" t="s">
        <v>22</v>
      </c>
      <c r="H6" t="s">
        <v>23</v>
      </c>
    </row>
    <row r="7" spans="1:8" x14ac:dyDescent="0.25">
      <c r="A7">
        <v>1</v>
      </c>
      <c r="B7" s="3">
        <v>42754</v>
      </c>
      <c r="C7" s="7" t="s">
        <v>41</v>
      </c>
      <c r="D7" s="2">
        <f>AI!B57</f>
        <v>0.30041215712017277</v>
      </c>
      <c r="E7" s="2">
        <f>AI!B58</f>
        <v>0.70922803059466888</v>
      </c>
      <c r="F7" s="2">
        <f>AI!B60</f>
        <v>-0.40881587347449611</v>
      </c>
      <c r="G7" s="2">
        <f>AI!B59</f>
        <v>0.27724498692240634</v>
      </c>
      <c r="H7" s="2">
        <f>AI!B61</f>
        <v>2.3167170197766429E-2</v>
      </c>
    </row>
    <row r="8" spans="1:8" x14ac:dyDescent="0.25">
      <c r="A8">
        <v>2</v>
      </c>
      <c r="B8" s="3">
        <f>CashlessSociety!B20</f>
        <v>43303</v>
      </c>
      <c r="C8" s="7" t="s">
        <v>61</v>
      </c>
      <c r="D8" s="2">
        <f>CashlessSociety!B33</f>
        <v>0.50930020400225451</v>
      </c>
      <c r="E8" s="2">
        <f>CashlessSociety!B34</f>
        <v>0.3677776988131618</v>
      </c>
      <c r="F8" s="2">
        <f>CashlessSociety!B36</f>
        <v>0.14152250518909271</v>
      </c>
      <c r="G8" s="2">
        <f>CashlessSociety!$B$35</f>
        <v>0.19202603742880406</v>
      </c>
      <c r="H8" s="2">
        <f>CashlessSociety!$B$37</f>
        <v>0.31727416657345042</v>
      </c>
    </row>
    <row r="9" spans="1:8" x14ac:dyDescent="0.25">
      <c r="A9">
        <v>3</v>
      </c>
      <c r="B9" s="3">
        <f>DigitalRevolution!B20</f>
        <v>43962</v>
      </c>
      <c r="C9" s="7" t="s">
        <v>62</v>
      </c>
      <c r="D9" s="2">
        <f>DigitalRevolution!B33</f>
        <v>-0.15391291731004117</v>
      </c>
      <c r="E9" s="2">
        <f>CashlessSociety!$B$34</f>
        <v>0.3677776988131618</v>
      </c>
      <c r="F9" s="2">
        <f>DigitalRevolution!B36</f>
        <v>-0.521690616123203</v>
      </c>
      <c r="G9" s="2">
        <f>DigitalRevolution!B35</f>
        <v>0.2634756360500215</v>
      </c>
      <c r="H9" s="2">
        <f>DigitalRevolution!B37</f>
        <v>-0.41738855336006264</v>
      </c>
    </row>
    <row r="10" spans="1:8" x14ac:dyDescent="0.25">
      <c r="A10">
        <v>4</v>
      </c>
      <c r="B10" s="3">
        <f>CDNStarter!B20</f>
        <v>44086</v>
      </c>
      <c r="C10" s="7" t="s">
        <v>27</v>
      </c>
      <c r="D10" s="2">
        <f>CDNStarter!B33</f>
        <v>4.1614760390329311E-2</v>
      </c>
      <c r="E10" s="2">
        <f>CDNStarter!B34</f>
        <v>0.15224809914386642</v>
      </c>
      <c r="F10" s="2">
        <f>CDNStarter!B36</f>
        <v>-0.11063333875353711</v>
      </c>
      <c r="G10" s="2">
        <f>CDNStarter!B35</f>
        <v>0.19591836734693877</v>
      </c>
      <c r="H10" s="2">
        <f>CDNStarter!B37</f>
        <v>-0.15430360695660944</v>
      </c>
    </row>
    <row r="11" spans="1:8" x14ac:dyDescent="0.25">
      <c r="A11">
        <v>5</v>
      </c>
      <c r="B11" s="3">
        <f>GoneToTheAnimals!B20</f>
        <v>44169</v>
      </c>
      <c r="C11" s="7" t="s">
        <v>28</v>
      </c>
      <c r="D11" s="1">
        <f>GoneToTheAnimals!B35</f>
        <v>-0.35057130183219215</v>
      </c>
      <c r="E11" s="1">
        <f>GoneToTheAnimals!B36</f>
        <v>4.0943263562118137E-2</v>
      </c>
      <c r="F11" s="2">
        <f>GoneToTheAnimals!B38</f>
        <v>-0.39151456539431029</v>
      </c>
      <c r="G11" s="2">
        <f>GoneToTheAnimals!B37</f>
        <v>0.11704155547083493</v>
      </c>
      <c r="H11" s="2">
        <f>GoneToTheAnimals!B39</f>
        <v>-0.4676128573030271</v>
      </c>
    </row>
    <row r="12" spans="1:8" x14ac:dyDescent="0.25">
      <c r="A12">
        <v>6</v>
      </c>
      <c r="B12" s="3">
        <f>CdnTechs!B20</f>
        <v>44175</v>
      </c>
      <c r="C12" s="7" t="s">
        <v>25</v>
      </c>
      <c r="D12" s="2">
        <f>CdnTechs!B36</f>
        <v>-0.31016085722776182</v>
      </c>
      <c r="E12" s="2">
        <f>CdnTechs!B37</f>
        <v>4.9600523545932966E-2</v>
      </c>
      <c r="F12" s="2">
        <f>CdnTechs!B38</f>
        <v>-0.35976138077369479</v>
      </c>
      <c r="G12" s="2">
        <f>CdnTechs!B39</f>
        <v>0.10900832702498106</v>
      </c>
      <c r="H12" s="2">
        <f>CdnTechs!B40</f>
        <v>-0.41916918425274285</v>
      </c>
    </row>
    <row r="13" spans="1:8" x14ac:dyDescent="0.25">
      <c r="A13">
        <v>7</v>
      </c>
      <c r="B13" s="3">
        <f>GreenRevolution!B20</f>
        <v>44208</v>
      </c>
      <c r="C13" s="7" t="s">
        <v>26</v>
      </c>
      <c r="D13" s="2">
        <f>GreenRevolution!B33</f>
        <v>-0.31319799395144182</v>
      </c>
      <c r="E13" s="2">
        <f>GreenRevolution!B34</f>
        <v>1.623676637537301E-2</v>
      </c>
      <c r="F13" s="2">
        <f>GreenRevolution!B36</f>
        <v>-0.32943476032681485</v>
      </c>
      <c r="G13" s="2">
        <f>GreenRevolution!B35</f>
        <v>8.4381939304219125E-2</v>
      </c>
      <c r="H13" s="2">
        <f>GreenRevolution!B37</f>
        <v>-0.39757993325566093</v>
      </c>
    </row>
    <row r="14" spans="1:8" x14ac:dyDescent="0.25">
      <c r="A14">
        <v>8</v>
      </c>
      <c r="B14" s="3">
        <v>44216</v>
      </c>
      <c r="C14" s="7" t="s">
        <v>29</v>
      </c>
      <c r="D14" s="2">
        <f>ElectricVehicles!B33</f>
        <v>-0.3270335885864708</v>
      </c>
      <c r="E14" s="2">
        <f>ElectricVehicles!B34</f>
        <v>2.6830602516346594E-3</v>
      </c>
      <c r="F14" s="2">
        <f>ElectricVehicles!B36</f>
        <v>-0.32971664883810547</v>
      </c>
      <c r="G14" s="2">
        <f>ElectricVehicles!B35</f>
        <v>8.4783413550536785E-2</v>
      </c>
      <c r="H14" s="2">
        <f>ElectricVehicles!B37</f>
        <v>-0.41181700213700756</v>
      </c>
    </row>
    <row r="15" spans="1:8" x14ac:dyDescent="0.25">
      <c r="A15">
        <v>9</v>
      </c>
      <c r="B15" s="3">
        <v>44236</v>
      </c>
      <c r="C15" s="7" t="s">
        <v>35</v>
      </c>
      <c r="D15" s="2">
        <f>BuyNowPayLater!B33</f>
        <v>-0.38384007276664833</v>
      </c>
      <c r="E15" s="2">
        <f>BuyNowPayLater!B34</f>
        <v>-1.3493599190127726E-2</v>
      </c>
      <c r="F15" s="2">
        <f>BuyNowPayLater!B36</f>
        <v>-0.37034647357652062</v>
      </c>
      <c r="G15" s="2">
        <f>BuyNowPayLater!B35</f>
        <v>6.468023255813958E-2</v>
      </c>
      <c r="H15" s="2">
        <f>BuyNowPayLater!B37</f>
        <v>-0.44852030532478793</v>
      </c>
    </row>
    <row r="16" spans="1:8" x14ac:dyDescent="0.25">
      <c r="A16">
        <v>10</v>
      </c>
      <c r="B16" s="3">
        <v>44372</v>
      </c>
      <c r="C16" s="7" t="s">
        <v>37</v>
      </c>
      <c r="D16" s="2">
        <f>ForTheConsumer!B33</f>
        <v>-0.32804072816545971</v>
      </c>
      <c r="E16" s="2">
        <f>ForTheConsumer!B34</f>
        <v>-9.7723916457654533E-2</v>
      </c>
      <c r="F16" s="2">
        <f>ForTheConsumer!B36</f>
        <v>-0.23031681170780516</v>
      </c>
      <c r="G16" s="2">
        <f>ForTheConsumer!B35</f>
        <v>-4.3421482206986557E-2</v>
      </c>
      <c r="H16" s="2">
        <f>ForTheConsumer!B37</f>
        <v>-0.28461924595847315</v>
      </c>
    </row>
    <row r="17" spans="1:8" x14ac:dyDescent="0.25">
      <c r="A17">
        <v>11</v>
      </c>
      <c r="B17" s="3">
        <v>44372</v>
      </c>
      <c r="C17" s="7" t="s">
        <v>38</v>
      </c>
      <c r="D17" s="2">
        <f>GetOutAndGo!B33</f>
        <v>-0.23155103007239178</v>
      </c>
      <c r="E17" s="2">
        <f>GetOutAndGo!B34</f>
        <v>-9.7723916457654533E-2</v>
      </c>
      <c r="F17" s="2">
        <f>GetOutAndGo!B36</f>
        <v>-0.13382711361473726</v>
      </c>
      <c r="G17" s="2">
        <f>GetOutAndGo!B35</f>
        <v>-4.3421482206986557E-2</v>
      </c>
      <c r="H17" s="2">
        <f>GetOutAndGo!B37</f>
        <v>-0.18812954786540523</v>
      </c>
    </row>
    <row r="18" spans="1:8" x14ac:dyDescent="0.25">
      <c r="A18">
        <v>12</v>
      </c>
      <c r="B18" s="3">
        <v>44418</v>
      </c>
      <c r="C18" s="7" t="s">
        <v>39</v>
      </c>
      <c r="D18" s="2">
        <f>USInfrastructure!B34</f>
        <v>-9.0723872106533432E-2</v>
      </c>
      <c r="E18" s="2">
        <f>USInfrastructure!B35</f>
        <v>-0.13047799765067314</v>
      </c>
      <c r="F18" s="2">
        <f>USInfrastructure!B37</f>
        <v>3.9754125544139707E-2</v>
      </c>
      <c r="G18" s="2">
        <f>USInfrastructure!B36</f>
        <v>-6.1499039077514354E-2</v>
      </c>
      <c r="H18" s="2">
        <f>USInfrastructure!B38</f>
        <v>-2.9224833029019077E-2</v>
      </c>
    </row>
    <row r="19" spans="1:8" x14ac:dyDescent="0.25">
      <c r="A19">
        <v>14</v>
      </c>
      <c r="B19" s="3">
        <v>44825</v>
      </c>
      <c r="C19" s="7" t="s">
        <v>40</v>
      </c>
      <c r="D19" s="2">
        <f>Copper!B36</f>
        <v>3.3210456540899568E-2</v>
      </c>
      <c r="E19" s="2">
        <f>Copper!B37</f>
        <v>1.9952833938366225E-2</v>
      </c>
      <c r="F19" s="2">
        <f>Copper!B39</f>
        <v>1.3257622602533343E-2</v>
      </c>
      <c r="G19" s="2">
        <f>Copper!B38</f>
        <v>-6.8212824010912599E-4</v>
      </c>
      <c r="H19" s="2">
        <f>Copper!B40</f>
        <v>3.3892584781008692E-2</v>
      </c>
    </row>
  </sheetData>
  <mergeCells count="2">
    <mergeCell ref="A3:C3"/>
    <mergeCell ref="A1:H1"/>
  </mergeCells>
  <hyperlinks>
    <hyperlink ref="C8" location="CashlessSociety!A1" tooltip="5 Stocks for the move to a cashless society" display="5 Stocks for the Cashless Society" xr:uid="{DC9D6576-53CD-4CD1-8557-31E5672FF379}"/>
    <hyperlink ref="C11" location="GoneToTheAnimals!A1" tooltip="Pet related stocks" display="5 Stocks for Pets" xr:uid="{E1FF8947-FCC4-4D97-B36F-4C007D874A48}"/>
    <hyperlink ref="C9" location="DigitalRevolution!A1" tooltip="5 Stocks for the Digital Revolution" display="5 Digital Revolution stocks" xr:uid="{F95C58F1-9306-4A34-BA2E-9717245B913E}"/>
    <hyperlink ref="C10" location="CDNStarter!A1" tooltip="5 Canadian stocks to get started" display="5 Canadian Starter Stocks" xr:uid="{41E76CC3-FDFB-4C05-9120-D46303F92DBB}"/>
    <hyperlink ref="C12" location="CdnTechs!A1" tooltip="Canadian Tech Stocks" display="Canadian Tech Stocks" xr:uid="{09111376-4200-475C-9BD0-CA81664015F5}"/>
    <hyperlink ref="C13" location="GreenRevolution!A1" tooltip="Stocks for the Green Revolution" display="Green Revolution" xr:uid="{2EF0D1F9-ACE9-4E84-AF1A-6464EFB96D14}"/>
    <hyperlink ref="C14" location="ElectricVehicles!A1" tooltip="Stocks to take advantage of the EV trend" display="Electric Vehicles" xr:uid="{776CC248-682A-4013-9C8C-B2F92FE133A1}"/>
    <hyperlink ref="C15" location="BuyNowPayLater!A1" tooltip="Buy Now Pay Later" display="Buy Now Pay Later" xr:uid="{95EDC522-C961-4524-8872-0FF8DB4834AB}"/>
    <hyperlink ref="C7" location="AI!A1" tooltip="MF Artificial Intelligence" display="MF EO: Artificial Intellignece" xr:uid="{49F5B4BB-B8F9-4806-9152-916EF3D97C11}"/>
    <hyperlink ref="C16" location="ForTheConsumer!A1" tooltip="Companies That Make Consumer Goods" display="For The Consumer" xr:uid="{9D45BE14-96D9-4706-94B2-2C308450FF51}"/>
    <hyperlink ref="C17" location="GetOutAndGo!A1" tooltip="Stocks that will benefit from the end of the pandemic restrictions." display="Get Out and Go" xr:uid="{3E9772D7-E596-47DB-9193-B4E9D709630B}"/>
    <hyperlink ref="C18" location="USInfrastructure!A1" tooltip="US Infrastructure Build Out" display="US Infrastructure Build Out" xr:uid="{5524D9C3-68DA-42C3-81A5-FB040BB65C56}"/>
    <hyperlink ref="C19" location="Copper!A1" display="Copper Producers" xr:uid="{9B3A94C8-F6F5-45F7-834D-E2263E2A1770}"/>
  </hyperlinks>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0CDE9-3D48-487F-B44C-D3FCF373BF72}">
  <dimension ref="A1:J61"/>
  <sheetViews>
    <sheetView workbookViewId="0">
      <selection activeCell="A38" sqref="A38"/>
    </sheetView>
  </sheetViews>
  <sheetFormatPr defaultRowHeight="15" x14ac:dyDescent="0.25"/>
  <cols>
    <col min="1" max="1" width="41.28515625" bestFit="1" customWidth="1"/>
    <col min="2" max="2" width="13.28515625" bestFit="1" customWidth="1"/>
    <col min="3" max="3" width="10.42578125" bestFit="1" customWidth="1"/>
    <col min="4" max="4" width="8.140625" bestFit="1" customWidth="1"/>
    <col min="5" max="5" width="9.5703125" bestFit="1" customWidth="1"/>
    <col min="6" max="6" width="8.140625" bestFit="1" customWidth="1"/>
    <col min="7" max="7" width="9.85546875" bestFit="1" customWidth="1"/>
  </cols>
  <sheetData>
    <row r="1" spans="1:9" ht="20.25" thickBot="1" x14ac:dyDescent="0.35">
      <c r="A1" s="5" t="s">
        <v>42</v>
      </c>
      <c r="G1" s="7"/>
      <c r="H1" s="15" t="s">
        <v>11</v>
      </c>
      <c r="I1" s="15"/>
    </row>
    <row r="2" spans="1:9" ht="15.75" thickTop="1" x14ac:dyDescent="0.25"/>
    <row r="20" spans="1:10" x14ac:dyDescent="0.25">
      <c r="A20" t="s">
        <v>1</v>
      </c>
      <c r="B20" s="4">
        <v>42754</v>
      </c>
    </row>
    <row r="21" spans="1:10" x14ac:dyDescent="0.25">
      <c r="A21" t="s">
        <v>0</v>
      </c>
      <c r="B21" t="s">
        <v>3</v>
      </c>
      <c r="C21" t="s">
        <v>36</v>
      </c>
      <c r="D21" t="s">
        <v>2</v>
      </c>
      <c r="E21" t="s">
        <v>4</v>
      </c>
      <c r="F21" t="s">
        <v>5</v>
      </c>
      <c r="G21" t="s">
        <v>12</v>
      </c>
      <c r="H21" t="s">
        <v>6</v>
      </c>
      <c r="I21" t="s">
        <v>14</v>
      </c>
      <c r="J21" t="s">
        <v>15</v>
      </c>
    </row>
    <row r="22" spans="1:10" x14ac:dyDescent="0.25">
      <c r="A22" t="e" vm="1">
        <v>#VALUE!</v>
      </c>
      <c r="B22" t="str" cm="1">
        <f t="array" ref="B22">_FV(tbl_AI[[#This Row],[Company]],"Ticker symbol",TRUE)</f>
        <v>NXPI</v>
      </c>
      <c r="C22" s="3">
        <v>44237</v>
      </c>
      <c r="D22" s="9">
        <v>187.9</v>
      </c>
      <c r="E22" s="10" cm="1">
        <f t="array" ref="E22">_FV(tbl_AI[[#This Row],[Company]],"Price")</f>
        <v>148.74</v>
      </c>
      <c r="F22" s="1">
        <f>(tbl_AI[[#This Row],[Price]]-tbl_AI[[#This Row],[Start Price]])/tbl_AI[[#This Row],[Start Price]]</f>
        <v>-0.20840872804683339</v>
      </c>
      <c r="G22" s="2">
        <f t="shared" ref="G22:G39" si="0">$F$51</f>
        <v>0.70386437076711972</v>
      </c>
      <c r="H22" s="2">
        <f>tbl_AI[[#This Row],[% Change]]-tbl_AI[[#This Row],[S&amp;P 500]]</f>
        <v>-0.91227309881395313</v>
      </c>
      <c r="I22" s="2">
        <f t="shared" ref="I22:I52" si="1">$F$52</f>
        <v>0.27724498692240623</v>
      </c>
      <c r="J22" s="2">
        <f>tbl_AI[[#This Row],[% Change]]-tbl_AI[[#This Row],[TSX 60]]</f>
        <v>-0.48565371496923959</v>
      </c>
    </row>
    <row r="23" spans="1:10" x14ac:dyDescent="0.25">
      <c r="A23" t="e" vm="2">
        <v>#VALUE!</v>
      </c>
      <c r="B23" t="str" cm="1">
        <f t="array" ref="B23">_FV(tbl_AI[[#This Row],[Company]],"Ticker symbol",TRUE)</f>
        <v>GRMN</v>
      </c>
      <c r="C23" s="3">
        <v>44173</v>
      </c>
      <c r="D23" s="9">
        <v>122.85</v>
      </c>
      <c r="E23" s="10" cm="1">
        <f t="array" ref="E23">_FV(tbl_AI[[#This Row],[Company]],"Price")</f>
        <v>84.89</v>
      </c>
      <c r="F23" s="1">
        <f>(tbl_AI[[#This Row],[Price]]-tbl_AI[[#This Row],[Start Price]])/tbl_AI[[#This Row],[Start Price]]</f>
        <v>-0.30899470899470893</v>
      </c>
      <c r="G23" s="2">
        <f t="shared" si="0"/>
        <v>0.70386437076711972</v>
      </c>
      <c r="H23" s="2">
        <f>tbl_AI[[#This Row],[% Change]]-tbl_AI[[#This Row],[S&amp;P 500]]</f>
        <v>-1.0128590797618287</v>
      </c>
      <c r="I23" s="2">
        <f t="shared" si="1"/>
        <v>0.27724498692240623</v>
      </c>
      <c r="J23" s="2">
        <f>tbl_AI[[#This Row],[% Change]]-tbl_AI[[#This Row],[TSX 60]]</f>
        <v>-0.58623969591711522</v>
      </c>
    </row>
    <row r="24" spans="1:10" x14ac:dyDescent="0.25">
      <c r="A24" t="e" vm="3">
        <v>#VALUE!</v>
      </c>
      <c r="B24" t="str" cm="1">
        <f t="array" ref="B24">_FV(tbl_AI[[#This Row],[Company]],"Ticker symbol",TRUE)</f>
        <v>SSTK</v>
      </c>
      <c r="C24" s="3">
        <v>44111</v>
      </c>
      <c r="D24" s="9">
        <v>57.84</v>
      </c>
      <c r="E24" s="10" cm="1">
        <f t="array" ref="E24">_FV(tbl_AI[[#This Row],[Company]],"Price")</f>
        <v>50.64</v>
      </c>
      <c r="F24" s="1">
        <f>(tbl_AI[[#This Row],[Price]]-tbl_AI[[#This Row],[Start Price]])/tbl_AI[[#This Row],[Start Price]]</f>
        <v>-0.12448132780082992</v>
      </c>
      <c r="G24" s="2">
        <f t="shared" si="0"/>
        <v>0.70386437076711972</v>
      </c>
      <c r="H24" s="2">
        <f>tbl_AI[[#This Row],[% Change]]-tbl_AI[[#This Row],[S&amp;P 500]]</f>
        <v>-0.8283456985679496</v>
      </c>
      <c r="I24" s="2">
        <f t="shared" si="1"/>
        <v>0.27724498692240623</v>
      </c>
      <c r="J24" s="2">
        <f>tbl_AI[[#This Row],[% Change]]-tbl_AI[[#This Row],[TSX 60]]</f>
        <v>-0.40172631472323617</v>
      </c>
    </row>
    <row r="25" spans="1:10" x14ac:dyDescent="0.25">
      <c r="A25" t="e" vm="4">
        <v>#VALUE!</v>
      </c>
      <c r="B25" t="str" cm="1">
        <f t="array" ref="B25">_FV(tbl_AI[[#This Row],[Company]],"Ticker symbol",TRUE)</f>
        <v>CRNC</v>
      </c>
      <c r="C25" s="3">
        <v>44046</v>
      </c>
      <c r="D25" s="9">
        <v>41.48</v>
      </c>
      <c r="E25" s="10" cm="1">
        <f t="array" ref="E25">_FV(tbl_AI[[#This Row],[Company]],"Price")</f>
        <v>17.46</v>
      </c>
      <c r="F25" s="1">
        <f>(tbl_AI[[#This Row],[Price]]-tbl_AI[[#This Row],[Start Price]])/tbl_AI[[#This Row],[Start Price]]</f>
        <v>-0.57907425265188039</v>
      </c>
      <c r="G25" s="2">
        <f t="shared" si="0"/>
        <v>0.70386437076711972</v>
      </c>
      <c r="H25" s="2">
        <f>tbl_AI[[#This Row],[% Change]]-tbl_AI[[#This Row],[S&amp;P 500]]</f>
        <v>-1.2829386234190001</v>
      </c>
      <c r="I25" s="2">
        <f t="shared" si="1"/>
        <v>0.27724498692240623</v>
      </c>
      <c r="J25" s="2">
        <f>tbl_AI[[#This Row],[% Change]]-tbl_AI[[#This Row],[TSX 60]]</f>
        <v>-0.85631923957428668</v>
      </c>
    </row>
    <row r="26" spans="1:10" x14ac:dyDescent="0.25">
      <c r="A26" t="e" vm="5">
        <v>#VALUE!</v>
      </c>
      <c r="B26" t="str" cm="1">
        <f t="array" ref="B26">_FV(tbl_AI[[#This Row],[Company]],"Ticker symbol",TRUE)</f>
        <v>CRM</v>
      </c>
      <c r="C26" s="3">
        <v>43986</v>
      </c>
      <c r="D26" s="9">
        <v>171.44</v>
      </c>
      <c r="E26" s="10" cm="1">
        <f t="array" ref="E26">_FV(tbl_AI[[#This Row],[Company]],"Price")</f>
        <v>165.27</v>
      </c>
      <c r="F26" s="1">
        <f>(tbl_AI[[#This Row],[Price]]-tbl_AI[[#This Row],[Start Price]])/tbl_AI[[#This Row],[Start Price]]</f>
        <v>-3.598926738217445E-2</v>
      </c>
      <c r="G26" s="2">
        <f t="shared" si="0"/>
        <v>0.70386437076711972</v>
      </c>
      <c r="H26" s="2">
        <f>tbl_AI[[#This Row],[% Change]]-tbl_AI[[#This Row],[S&amp;P 500]]</f>
        <v>-0.73985363814929417</v>
      </c>
      <c r="I26" s="2">
        <f t="shared" si="1"/>
        <v>0.27724498692240623</v>
      </c>
      <c r="J26" s="2">
        <f>tbl_AI[[#This Row],[% Change]]-tbl_AI[[#This Row],[TSX 60]]</f>
        <v>-0.31323425430458068</v>
      </c>
    </row>
    <row r="27" spans="1:10" x14ac:dyDescent="0.25">
      <c r="A27" t="e" vm="6">
        <v>#VALUE!</v>
      </c>
      <c r="B27" t="str" cm="1">
        <f t="array" ref="B27">_FV(tbl_AI[[#This Row],[Company]],"Ticker symbol",TRUE)</f>
        <v>ETSY</v>
      </c>
      <c r="C27" s="3">
        <v>43927</v>
      </c>
      <c r="D27" s="9">
        <v>46.46</v>
      </c>
      <c r="E27" s="10" cm="1">
        <f t="array" ref="E27">_FV(tbl_AI[[#This Row],[Company]],"Price")</f>
        <v>103.24</v>
      </c>
      <c r="F27" s="1">
        <f>(tbl_AI[[#This Row],[Price]]-tbl_AI[[#This Row],[Start Price]])/tbl_AI[[#This Row],[Start Price]]</f>
        <v>1.222126560482135</v>
      </c>
      <c r="G27" s="2">
        <f t="shared" si="0"/>
        <v>0.70386437076711972</v>
      </c>
      <c r="H27" s="2">
        <f>tbl_AI[[#This Row],[% Change]]-tbl_AI[[#This Row],[S&amp;P 500]]</f>
        <v>0.51826218971501525</v>
      </c>
      <c r="I27" s="2">
        <f t="shared" si="1"/>
        <v>0.27724498692240623</v>
      </c>
      <c r="J27" s="2">
        <f>tbl_AI[[#This Row],[% Change]]-tbl_AI[[#This Row],[TSX 60]]</f>
        <v>0.94488157355972868</v>
      </c>
    </row>
    <row r="28" spans="1:10" x14ac:dyDescent="0.25">
      <c r="A28" t="e" vm="7">
        <v>#VALUE!</v>
      </c>
      <c r="B28" t="str" cm="1">
        <f t="array" ref="B28">_FV(tbl_AI[[#This Row],[Company]],"Ticker symbol",TRUE)</f>
        <v>FTCH</v>
      </c>
      <c r="C28" s="3">
        <v>43892</v>
      </c>
      <c r="D28" s="9">
        <v>10.9</v>
      </c>
      <c r="E28" s="10" cm="1">
        <f t="array" ref="E28">_FV(tbl_AI[[#This Row],[Company]],"Price")</f>
        <v>8.26</v>
      </c>
      <c r="F28" s="1">
        <f>(tbl_AI[[#This Row],[Price]]-tbl_AI[[#This Row],[Start Price]])/tbl_AI[[#This Row],[Start Price]]</f>
        <v>-0.24220183486238536</v>
      </c>
      <c r="G28" s="2">
        <f t="shared" si="0"/>
        <v>0.70386437076711972</v>
      </c>
      <c r="H28" s="2">
        <f>tbl_AI[[#This Row],[% Change]]-tbl_AI[[#This Row],[S&amp;P 500]]</f>
        <v>-0.94606620562950505</v>
      </c>
      <c r="I28" s="2">
        <f t="shared" si="1"/>
        <v>0.27724498692240623</v>
      </c>
      <c r="J28" s="2">
        <f>tbl_AI[[#This Row],[% Change]]-tbl_AI[[#This Row],[TSX 60]]</f>
        <v>-0.51944682178479162</v>
      </c>
    </row>
    <row r="29" spans="1:10" x14ac:dyDescent="0.25">
      <c r="A29" t="e" vm="8">
        <v>#VALUE!</v>
      </c>
      <c r="B29" t="str" cm="1">
        <f t="array" ref="B29">_FV(tbl_AI[[#This Row],[Company]],"Ticker symbol",TRUE)</f>
        <v>INTC</v>
      </c>
      <c r="C29" s="3">
        <v>43865</v>
      </c>
      <c r="D29" s="9">
        <v>65.459999999999994</v>
      </c>
      <c r="E29" s="10" cm="1">
        <f t="array" ref="E29">_FV(tbl_AI[[#This Row],[Company]],"Price")</f>
        <v>27.41</v>
      </c>
      <c r="F29" s="1">
        <f>(tbl_AI[[#This Row],[Price]]-tbl_AI[[#This Row],[Start Price]])/tbl_AI[[#This Row],[Start Price]]</f>
        <v>-0.58127100519401165</v>
      </c>
      <c r="G29" s="2">
        <f t="shared" si="0"/>
        <v>0.70386437076711972</v>
      </c>
      <c r="H29" s="2">
        <f>tbl_AI[[#This Row],[% Change]]-tbl_AI[[#This Row],[S&amp;P 500]]</f>
        <v>-1.2851353759611315</v>
      </c>
      <c r="I29" s="2">
        <f t="shared" si="1"/>
        <v>0.27724498692240623</v>
      </c>
      <c r="J29" s="2">
        <f>tbl_AI[[#This Row],[% Change]]-tbl_AI[[#This Row],[TSX 60]]</f>
        <v>-0.85851599211641783</v>
      </c>
    </row>
    <row r="30" spans="1:10" x14ac:dyDescent="0.25">
      <c r="A30" t="e" vm="9">
        <v>#VALUE!</v>
      </c>
      <c r="B30" t="str" cm="1">
        <f t="array" ref="B30">_FV(tbl_AI[[#This Row],[Company]],"Ticker symbol",TRUE)</f>
        <v>TWLO</v>
      </c>
      <c r="C30" s="3">
        <v>43819</v>
      </c>
      <c r="D30" s="9">
        <v>100.26</v>
      </c>
      <c r="E30" s="10" cm="1">
        <f t="array" ref="E30">_FV(tbl_AI[[#This Row],[Company]],"Price")</f>
        <v>76.61</v>
      </c>
      <c r="F30" s="1">
        <f>(tbl_AI[[#This Row],[Price]]-tbl_AI[[#This Row],[Start Price]])/tbl_AI[[#This Row],[Start Price]]</f>
        <v>-0.23588669459405551</v>
      </c>
      <c r="G30" s="2">
        <f t="shared" si="0"/>
        <v>0.70386437076711972</v>
      </c>
      <c r="H30" s="2">
        <f>tbl_AI[[#This Row],[% Change]]-tbl_AI[[#This Row],[S&amp;P 500]]</f>
        <v>-0.93975106536117525</v>
      </c>
      <c r="I30" s="2">
        <f t="shared" si="1"/>
        <v>0.27724498692240623</v>
      </c>
      <c r="J30" s="2">
        <f>tbl_AI[[#This Row],[% Change]]-tbl_AI[[#This Row],[TSX 60]]</f>
        <v>-0.51313168151646171</v>
      </c>
    </row>
    <row r="31" spans="1:10" x14ac:dyDescent="0.25">
      <c r="A31" t="e" vm="10">
        <v>#VALUE!</v>
      </c>
      <c r="B31" t="str" cm="1">
        <f t="array" ref="B31">_FV(tbl_AI[[#This Row],[Company]],"Ticker symbol",TRUE)</f>
        <v>MSFT</v>
      </c>
      <c r="C31" s="3">
        <v>43766</v>
      </c>
      <c r="D31" s="9">
        <v>144.19</v>
      </c>
      <c r="E31" s="10" cm="1">
        <f t="array" ref="E31">_FV(tbl_AI[[#This Row],[Company]],"Price")</f>
        <v>250.66</v>
      </c>
      <c r="F31" s="1">
        <f>(tbl_AI[[#This Row],[Price]]-tbl_AI[[#This Row],[Start Price]])/tbl_AI[[#This Row],[Start Price]]</f>
        <v>0.73840072127054579</v>
      </c>
      <c r="G31" s="2">
        <f t="shared" si="0"/>
        <v>0.70386437076711972</v>
      </c>
      <c r="H31" s="2">
        <f>tbl_AI[[#This Row],[% Change]]-tbl_AI[[#This Row],[S&amp;P 500]]</f>
        <v>3.4536350503426072E-2</v>
      </c>
      <c r="I31" s="2">
        <f t="shared" si="1"/>
        <v>0.27724498692240623</v>
      </c>
      <c r="J31" s="2">
        <f>tbl_AI[[#This Row],[% Change]]-tbl_AI[[#This Row],[TSX 60]]</f>
        <v>0.46115573434813956</v>
      </c>
    </row>
    <row r="32" spans="1:10" x14ac:dyDescent="0.25">
      <c r="A32" t="e" vm="11">
        <v>#VALUE!</v>
      </c>
      <c r="B32" t="str" cm="1">
        <f t="array" ref="B32">_FV(tbl_AI[[#This Row],[Company]],"Ticker symbol",TRUE)</f>
        <v>ROKU</v>
      </c>
      <c r="C32" s="3">
        <v>43704</v>
      </c>
      <c r="D32" s="9">
        <v>147.02000000000001</v>
      </c>
      <c r="E32" s="10" cm="1">
        <f t="array" ref="E32">_FV(tbl_AI[[#This Row],[Company]],"Price")</f>
        <v>55.34</v>
      </c>
      <c r="F32" s="1">
        <f>(tbl_AI[[#This Row],[Price]]-tbl_AI[[#This Row],[Start Price]])/tbl_AI[[#This Row],[Start Price]]</f>
        <v>-0.62358862739763299</v>
      </c>
      <c r="G32" s="2">
        <f t="shared" si="0"/>
        <v>0.70386437076711972</v>
      </c>
      <c r="H32" s="2">
        <f>tbl_AI[[#This Row],[% Change]]-tbl_AI[[#This Row],[S&amp;P 500]]</f>
        <v>-1.3274529981647527</v>
      </c>
      <c r="I32" s="2">
        <f t="shared" si="1"/>
        <v>0.27724498692240623</v>
      </c>
      <c r="J32" s="2">
        <f>tbl_AI[[#This Row],[% Change]]-tbl_AI[[#This Row],[TSX 60]]</f>
        <v>-0.90083361432003928</v>
      </c>
    </row>
    <row r="33" spans="1:10" x14ac:dyDescent="0.25">
      <c r="A33" t="e" vm="9">
        <v>#VALUE!</v>
      </c>
      <c r="B33" t="str" cm="1">
        <f t="array" ref="B33">_FV(tbl_AI[[#This Row],[Company]],"Ticker symbol",TRUE)</f>
        <v>TWLO</v>
      </c>
      <c r="C33" s="3">
        <v>43640</v>
      </c>
      <c r="D33" s="9">
        <v>138.41</v>
      </c>
      <c r="E33" s="10" cm="1">
        <f t="array" ref="E33">_FV(tbl_AI[[#This Row],[Company]],"Price")</f>
        <v>76.61</v>
      </c>
      <c r="F33" s="1">
        <f>(tbl_AI[[#This Row],[Price]]-tbl_AI[[#This Row],[Start Price]])/tbl_AI[[#This Row],[Start Price]]</f>
        <v>-0.44649953038075285</v>
      </c>
      <c r="G33" s="2">
        <f t="shared" si="0"/>
        <v>0.70386437076711972</v>
      </c>
      <c r="H33" s="2">
        <f>tbl_AI[[#This Row],[% Change]]-tbl_AI[[#This Row],[S&amp;P 500]]</f>
        <v>-1.1503639011478726</v>
      </c>
      <c r="I33" s="2">
        <f t="shared" si="1"/>
        <v>0.27724498692240623</v>
      </c>
      <c r="J33" s="2">
        <f>tbl_AI[[#This Row],[% Change]]-tbl_AI[[#This Row],[TSX 60]]</f>
        <v>-0.72374451730315914</v>
      </c>
    </row>
    <row r="34" spans="1:10" x14ac:dyDescent="0.25">
      <c r="A34" t="e" vm="12">
        <v>#VALUE!</v>
      </c>
      <c r="B34" t="str" cm="1">
        <f t="array" ref="B34">_FV(tbl_AI[[#This Row],[Company]],"Ticker symbol",TRUE)</f>
        <v>NTNX</v>
      </c>
      <c r="C34" s="3">
        <v>42754</v>
      </c>
      <c r="D34" s="9">
        <v>28.8</v>
      </c>
      <c r="E34" s="10" cm="1">
        <f t="array" ref="E34">_FV(tbl_AI[[#This Row],[Company]],"Price")</f>
        <v>26.83</v>
      </c>
      <c r="F34" s="1">
        <f>(tbl_AI[[#This Row],[Price]]-tbl_AI[[#This Row],[Start Price]])/tbl_AI[[#This Row],[Start Price]]</f>
        <v>-6.8402777777777854E-2</v>
      </c>
      <c r="G34" s="2">
        <f t="shared" si="0"/>
        <v>0.70386437076711972</v>
      </c>
      <c r="H34" s="2">
        <f>tbl_AI[[#This Row],[% Change]]-tbl_AI[[#This Row],[S&amp;P 500]]</f>
        <v>-0.77226714854489753</v>
      </c>
      <c r="I34" s="2">
        <f t="shared" si="1"/>
        <v>0.27724498692240623</v>
      </c>
      <c r="J34" s="2">
        <f>tbl_AI[[#This Row],[% Change]]-tbl_AI[[#This Row],[TSX 60]]</f>
        <v>-0.3456477647001841</v>
      </c>
    </row>
    <row r="35" spans="1:10" x14ac:dyDescent="0.25">
      <c r="A35" t="e" vm="13">
        <v>#VALUE!</v>
      </c>
      <c r="B35" t="str" cm="1">
        <f t="array" ref="B35">_FV(tbl_AI[[#This Row],[Company]],"Ticker symbol",TRUE)</f>
        <v>NEWR</v>
      </c>
      <c r="C35" s="3">
        <v>42754</v>
      </c>
      <c r="D35" s="9">
        <v>32.65</v>
      </c>
      <c r="E35" s="10" cm="1">
        <f t="array" ref="E35">_FV(tbl_AI[[#This Row],[Company]],"Price")</f>
        <v>61.06</v>
      </c>
      <c r="F35" s="1">
        <f>(tbl_AI[[#This Row],[Price]]-tbl_AI[[#This Row],[Start Price]])/tbl_AI[[#This Row],[Start Price]]</f>
        <v>0.87013782542113338</v>
      </c>
      <c r="G35" s="2">
        <f t="shared" si="0"/>
        <v>0.70386437076711972</v>
      </c>
      <c r="H35" s="2">
        <f>tbl_AI[[#This Row],[% Change]]-tbl_AI[[#This Row],[S&amp;P 500]]</f>
        <v>0.16627345465401366</v>
      </c>
      <c r="I35" s="2">
        <f t="shared" si="1"/>
        <v>0.27724498692240623</v>
      </c>
      <c r="J35" s="2">
        <f>tbl_AI[[#This Row],[% Change]]-tbl_AI[[#This Row],[TSX 60]]</f>
        <v>0.59289283849872709</v>
      </c>
    </row>
    <row r="36" spans="1:10" x14ac:dyDescent="0.25">
      <c r="A36" t="e" vm="14">
        <v>#VALUE!</v>
      </c>
      <c r="B36" t="str" cm="1">
        <f t="array" ref="B36">_FV(tbl_AI[[#This Row],[Company]],"Ticker symbol",TRUE)</f>
        <v>IRBT</v>
      </c>
      <c r="C36" s="3">
        <v>42754</v>
      </c>
      <c r="D36" s="9">
        <v>59.4</v>
      </c>
      <c r="E36" s="10" cm="1">
        <f t="array" ref="E36">_FV(tbl_AI[[#This Row],[Company]],"Price")</f>
        <v>55.66</v>
      </c>
      <c r="F36" s="1">
        <f>(tbl_AI[[#This Row],[Price]]-tbl_AI[[#This Row],[Start Price]])/tbl_AI[[#This Row],[Start Price]]</f>
        <v>-6.2962962962962998E-2</v>
      </c>
      <c r="G36" s="2">
        <f t="shared" si="0"/>
        <v>0.70386437076711972</v>
      </c>
      <c r="H36" s="2">
        <f>tbl_AI[[#This Row],[% Change]]-tbl_AI[[#This Row],[S&amp;P 500]]</f>
        <v>-0.76682733373008272</v>
      </c>
      <c r="I36" s="2">
        <f t="shared" si="1"/>
        <v>0.27724498692240623</v>
      </c>
      <c r="J36" s="2">
        <f>tbl_AI[[#This Row],[% Change]]-tbl_AI[[#This Row],[TSX 60]]</f>
        <v>-0.34020794988536923</v>
      </c>
    </row>
    <row r="37" spans="1:10" x14ac:dyDescent="0.25">
      <c r="A37" t="e" vm="15">
        <v>#VALUE!</v>
      </c>
      <c r="B37" t="str" cm="1">
        <f t="array" ref="B37">_FV(tbl_AI[[#This Row],[Company]],"Ticker symbol",TRUE)</f>
        <v>TSM</v>
      </c>
      <c r="C37" s="3">
        <v>42754</v>
      </c>
      <c r="D37" s="9">
        <v>29.63</v>
      </c>
      <c r="E37" s="10" cm="1">
        <f t="array" ref="E37">_FV(tbl_AI[[#This Row],[Company]],"Price")</f>
        <v>61.14</v>
      </c>
      <c r="F37" s="1">
        <f>(tbl_AI[[#This Row],[Price]]-tbl_AI[[#This Row],[Start Price]])/tbl_AI[[#This Row],[Start Price]]</f>
        <v>1.063449206884914</v>
      </c>
      <c r="G37" s="2">
        <f t="shared" si="0"/>
        <v>0.70386437076711972</v>
      </c>
      <c r="H37" s="2">
        <f>tbl_AI[[#This Row],[% Change]]-tbl_AI[[#This Row],[S&amp;P 500]]</f>
        <v>0.35958483611779424</v>
      </c>
      <c r="I37" s="2">
        <f t="shared" si="1"/>
        <v>0.27724498692240623</v>
      </c>
      <c r="J37" s="2">
        <f>tbl_AI[[#This Row],[% Change]]-tbl_AI[[#This Row],[TSX 60]]</f>
        <v>0.78620421996250767</v>
      </c>
    </row>
    <row r="38" spans="1:10" x14ac:dyDescent="0.25">
      <c r="A38" t="e" vm="16">
        <v>#VALUE!</v>
      </c>
      <c r="B38" t="str" cm="1">
        <f t="array" ref="B38">_FV(tbl_AI[[#This Row],[Company]],"Ticker symbol",TRUE)</f>
        <v>META</v>
      </c>
      <c r="C38" s="3">
        <v>42754</v>
      </c>
      <c r="D38" s="9">
        <v>119.24</v>
      </c>
      <c r="E38" s="10" cm="1">
        <f t="array" ref="E38">_FV(tbl_AI[[#This Row],[Company]],"Price")</f>
        <v>137.51</v>
      </c>
      <c r="F38" s="1">
        <f>(tbl_AI[[#This Row],[Price]]-tbl_AI[[#This Row],[Start Price]])/tbl_AI[[#This Row],[Start Price]]</f>
        <v>0.15322039584032202</v>
      </c>
      <c r="G38" s="2">
        <f t="shared" si="0"/>
        <v>0.70386437076711972</v>
      </c>
      <c r="H38" s="2">
        <f>tbl_AI[[#This Row],[% Change]]-tbl_AI[[#This Row],[S&amp;P 500]]</f>
        <v>-0.55064397492679773</v>
      </c>
      <c r="I38" s="2">
        <f t="shared" si="1"/>
        <v>0.27724498692240623</v>
      </c>
      <c r="J38" s="2">
        <f>tbl_AI[[#This Row],[% Change]]-tbl_AI[[#This Row],[TSX 60]]</f>
        <v>-0.12402459108208422</v>
      </c>
    </row>
    <row r="39" spans="1:10" x14ac:dyDescent="0.25">
      <c r="A39" t="e" vm="17">
        <v>#VALUE!</v>
      </c>
      <c r="B39" t="str" cm="1">
        <f t="array" ref="B39">_FV(tbl_AI[[#This Row],[Company]],"Ticker symbol",TRUE)</f>
        <v>ANET</v>
      </c>
      <c r="C39" s="3">
        <v>42754</v>
      </c>
      <c r="D39" s="9">
        <v>89.72</v>
      </c>
      <c r="E39" s="10" cm="1">
        <f t="array" ref="E39">_FV(tbl_AI[[#This Row],[Company]],"Price")</f>
        <v>112.63</v>
      </c>
      <c r="F39" s="1">
        <f>(tbl_AI[[#This Row],[Price]]-tbl_AI[[#This Row],[Start Price]])/tbl_AI[[#This Row],[Start Price]]</f>
        <v>0.25534997770842616</v>
      </c>
      <c r="G39" s="2">
        <f t="shared" si="0"/>
        <v>0.70386437076711972</v>
      </c>
      <c r="H39" s="2">
        <f>tbl_AI[[#This Row],[% Change]]-tbl_AI[[#This Row],[S&amp;P 500]]</f>
        <v>-0.44851439305869356</v>
      </c>
      <c r="I39" s="2">
        <f t="shared" si="1"/>
        <v>0.27724498692240623</v>
      </c>
      <c r="J39" s="2">
        <f>tbl_AI[[#This Row],[% Change]]-tbl_AI[[#This Row],[TSX 60]]</f>
        <v>-2.1895009213980077E-2</v>
      </c>
    </row>
    <row r="40" spans="1:10" x14ac:dyDescent="0.25">
      <c r="A40" t="e" vm="18">
        <v>#VALUE!</v>
      </c>
      <c r="B40" t="str" cm="1">
        <f t="array" ref="B40">_FV(tbl_AI[[#This Row],[Company]],"Ticker symbol",TRUE)</f>
        <v>AMAT</v>
      </c>
      <c r="C40" s="3">
        <v>42754</v>
      </c>
      <c r="D40" s="9">
        <v>33.75</v>
      </c>
      <c r="E40" s="10" cm="1">
        <f t="array" ref="E40">_FV(tbl_AI[[#This Row],[Company]],"Price")</f>
        <v>87.53</v>
      </c>
      <c r="F40" s="1">
        <f>(tbl_AI[[#This Row],[Price]]-tbl_AI[[#This Row],[Start Price]])/tbl_AI[[#This Row],[Start Price]]</f>
        <v>1.5934814814814815</v>
      </c>
      <c r="G40" s="2">
        <f>$F$35</f>
        <v>0.87013782542113338</v>
      </c>
      <c r="H40" s="2">
        <f>tbl_AI[[#This Row],[% Change]]-tbl_AI[[#This Row],[S&amp;P 500]]</f>
        <v>0.72334365606034812</v>
      </c>
      <c r="I40" s="2">
        <f t="shared" si="1"/>
        <v>0.27724498692240623</v>
      </c>
      <c r="J40" s="2">
        <f>tbl_AI[[#This Row],[% Change]]-tbl_AI[[#This Row],[TSX 60]]</f>
        <v>1.3162364945590752</v>
      </c>
    </row>
    <row r="41" spans="1:10" x14ac:dyDescent="0.25">
      <c r="A41" t="e" vm="19">
        <v>#VALUE!</v>
      </c>
      <c r="B41" t="str" cm="1">
        <f t="array" ref="B41">_FV(tbl_AI[[#This Row],[Company]],"Ticker symbol",TRUE)</f>
        <v>PANW</v>
      </c>
      <c r="C41" s="3">
        <v>42754</v>
      </c>
      <c r="D41" s="9">
        <v>141.91999999999999</v>
      </c>
      <c r="E41" s="10" cm="1">
        <f t="array" ref="E41">_FV(tbl_AI[[#This Row],[Company]],"Price")</f>
        <v>166.19</v>
      </c>
      <c r="F41" s="1">
        <f>(tbl_AI[[#This Row],[Price]]-tbl_AI[[#This Row],[Start Price]])/tbl_AI[[#This Row],[Start Price]]</f>
        <v>0.17101183765501698</v>
      </c>
      <c r="G41" s="2">
        <f t="shared" ref="G41:G52" si="2">$F$51</f>
        <v>0.70386437076711972</v>
      </c>
      <c r="H41" s="2">
        <f>tbl_AI[[#This Row],[% Change]]-tbl_AI[[#This Row],[S&amp;P 500]]</f>
        <v>-0.53285253311210279</v>
      </c>
      <c r="I41" s="2">
        <f t="shared" si="1"/>
        <v>0.27724498692240623</v>
      </c>
      <c r="J41" s="2">
        <f>tbl_AI[[#This Row],[% Change]]-tbl_AI[[#This Row],[TSX 60]]</f>
        <v>-0.10623314926738925</v>
      </c>
    </row>
    <row r="42" spans="1:10" x14ac:dyDescent="0.25">
      <c r="A42" t="e" vm="20">
        <v>#VALUE!</v>
      </c>
      <c r="B42" t="str" cm="1">
        <f t="array" ref="B42">_FV(tbl_AI[[#This Row],[Company]],"Ticker symbol",TRUE)</f>
        <v>GOOG</v>
      </c>
      <c r="C42" s="3">
        <v>42754</v>
      </c>
      <c r="D42" s="9">
        <v>40.11</v>
      </c>
      <c r="E42" s="10" cm="1">
        <f t="array" ref="E42">_FV(tbl_AI[[#This Row],[Company]],"Price")</f>
        <v>104.93</v>
      </c>
      <c r="F42" s="1">
        <f>(tbl_AI[[#This Row],[Price]]-tbl_AI[[#This Row],[Start Price]])/tbl_AI[[#This Row],[Start Price]]</f>
        <v>1.6160558464223387</v>
      </c>
      <c r="G42" s="2">
        <f t="shared" si="2"/>
        <v>0.70386437076711972</v>
      </c>
      <c r="H42" s="2">
        <f>tbl_AI[[#This Row],[% Change]]-tbl_AI[[#This Row],[S&amp;P 500]]</f>
        <v>0.91219147565521896</v>
      </c>
      <c r="I42" s="2">
        <f t="shared" si="1"/>
        <v>0.27724498692240623</v>
      </c>
      <c r="J42" s="2">
        <f>tbl_AI[[#This Row],[% Change]]-tbl_AI[[#This Row],[TSX 60]]</f>
        <v>1.3388108594999324</v>
      </c>
    </row>
    <row r="43" spans="1:10" x14ac:dyDescent="0.25">
      <c r="A43" t="e" vm="21">
        <v>#VALUE!</v>
      </c>
      <c r="B43" t="str" cm="1">
        <f t="array" ref="B43">_FV(tbl_AI[[#This Row],[Company]],"Ticker symbol",TRUE)</f>
        <v>AMZN</v>
      </c>
      <c r="C43" s="3">
        <v>42754</v>
      </c>
      <c r="D43" s="9">
        <v>40.450000000000003</v>
      </c>
      <c r="E43" s="10" cm="1">
        <f t="array" ref="E43">_FV(tbl_AI[[#This Row],[Company]],"Price")</f>
        <v>120.6</v>
      </c>
      <c r="F43" s="1">
        <f>(tbl_AI[[#This Row],[Price]]-tbl_AI[[#This Row],[Start Price]])/tbl_AI[[#This Row],[Start Price]]</f>
        <v>1.9814585908529045</v>
      </c>
      <c r="G43" s="2">
        <f t="shared" si="2"/>
        <v>0.70386437076711972</v>
      </c>
      <c r="H43" s="2">
        <f>tbl_AI[[#This Row],[% Change]]-tbl_AI[[#This Row],[S&amp;P 500]]</f>
        <v>1.2775942200857848</v>
      </c>
      <c r="I43" s="2">
        <f t="shared" si="1"/>
        <v>0.27724498692240623</v>
      </c>
      <c r="J43" s="2">
        <f>tbl_AI[[#This Row],[% Change]]-tbl_AI[[#This Row],[TSX 60]]</f>
        <v>1.7042136039304983</v>
      </c>
    </row>
    <row r="44" spans="1:10" x14ac:dyDescent="0.25">
      <c r="A44" t="e" vm="22">
        <v>#VALUE!</v>
      </c>
      <c r="B44" t="str" cm="1">
        <f t="array" ref="B44">_FV(tbl_AI[[#This Row],[Company]],"Ticker symbol",TRUE)</f>
        <v>BIDU</v>
      </c>
      <c r="C44" s="3">
        <v>42754</v>
      </c>
      <c r="D44" s="9">
        <v>176.09</v>
      </c>
      <c r="E44" s="10" cm="1">
        <f t="array" ref="E44">_FV(tbl_AI[[#This Row],[Company]],"Price")</f>
        <v>81.209999999999994</v>
      </c>
      <c r="F44" s="1">
        <f>(tbl_AI[[#This Row],[Price]]-tbl_AI[[#This Row],[Start Price]])/tbl_AI[[#This Row],[Start Price]]</f>
        <v>-0.5388153784996309</v>
      </c>
      <c r="G44" s="2">
        <f t="shared" si="2"/>
        <v>0.70386437076711972</v>
      </c>
      <c r="H44" s="2">
        <f>tbl_AI[[#This Row],[% Change]]-tbl_AI[[#This Row],[S&amp;P 500]]</f>
        <v>-1.2426797492667507</v>
      </c>
      <c r="I44" s="2">
        <f t="shared" si="1"/>
        <v>0.27724498692240623</v>
      </c>
      <c r="J44" s="2">
        <f>tbl_AI[[#This Row],[% Change]]-tbl_AI[[#This Row],[TSX 60]]</f>
        <v>-0.81606036542203708</v>
      </c>
    </row>
    <row r="45" spans="1:10" x14ac:dyDescent="0.25">
      <c r="A45" t="e" vm="23">
        <v>#VALUE!</v>
      </c>
      <c r="B45" t="str" cm="1">
        <f t="array" ref="B45">_FV(tbl_AI[[#This Row],[Company]],"Ticker symbol",TRUE)</f>
        <v>SPLK</v>
      </c>
      <c r="C45" s="3">
        <v>42754</v>
      </c>
      <c r="D45" s="9">
        <v>53.82</v>
      </c>
      <c r="E45" s="10" cm="1">
        <f t="array" ref="E45">_FV(tbl_AI[[#This Row],[Company]],"Price")</f>
        <v>82.87</v>
      </c>
      <c r="F45" s="1">
        <f>(tbl_AI[[#This Row],[Price]]-tbl_AI[[#This Row],[Start Price]])/tbl_AI[[#This Row],[Start Price]]</f>
        <v>0.53976217019695283</v>
      </c>
      <c r="G45" s="2">
        <f t="shared" si="2"/>
        <v>0.70386437076711972</v>
      </c>
      <c r="H45" s="2">
        <f>tbl_AI[[#This Row],[% Change]]-tbl_AI[[#This Row],[S&amp;P 500]]</f>
        <v>-0.16410220057016689</v>
      </c>
      <c r="I45" s="2">
        <f t="shared" si="1"/>
        <v>0.27724498692240623</v>
      </c>
      <c r="J45" s="2">
        <f>tbl_AI[[#This Row],[% Change]]-tbl_AI[[#This Row],[TSX 60]]</f>
        <v>0.26251718327454659</v>
      </c>
    </row>
    <row r="46" spans="1:10" x14ac:dyDescent="0.25">
      <c r="A46" t="e" vm="24">
        <v>#VALUE!</v>
      </c>
      <c r="B46" t="str" cm="1">
        <f t="array" ref="B46">_FV(tbl_AI[[#This Row],[Company]],"Ticker symbol",TRUE)</f>
        <v>NVDA</v>
      </c>
      <c r="C46" s="3">
        <v>42754</v>
      </c>
      <c r="D46" s="9">
        <v>105.16</v>
      </c>
      <c r="E46" s="10" cm="1">
        <f t="array" ref="E46">_FV(tbl_AI[[#This Row],[Company]],"Price")</f>
        <v>132.61000000000001</v>
      </c>
      <c r="F46" s="1">
        <f>(tbl_AI[[#This Row],[Price]]-tbl_AI[[#This Row],[Start Price]])/tbl_AI[[#This Row],[Start Price]]</f>
        <v>0.26103081019399027</v>
      </c>
      <c r="G46" s="2">
        <f t="shared" si="2"/>
        <v>0.70386437076711972</v>
      </c>
      <c r="H46" s="2">
        <f>tbl_AI[[#This Row],[% Change]]-tbl_AI[[#This Row],[S&amp;P 500]]</f>
        <v>-0.44283356057312945</v>
      </c>
      <c r="I46" s="2">
        <f t="shared" si="1"/>
        <v>0.27724498692240623</v>
      </c>
      <c r="J46" s="2">
        <f>tbl_AI[[#This Row],[% Change]]-tbl_AI[[#This Row],[TSX 60]]</f>
        <v>-1.6214176728415963E-2</v>
      </c>
    </row>
    <row r="47" spans="1:10" x14ac:dyDescent="0.25">
      <c r="A47" t="e" vm="25">
        <v>#VALUE!</v>
      </c>
      <c r="B47" t="str" cm="1">
        <f t="array" ref="B47">_FV(tbl_AI[[#This Row],[Company]],"Ticker symbol",TRUE)</f>
        <v>ZG</v>
      </c>
      <c r="C47" s="3">
        <v>42754</v>
      </c>
      <c r="D47" s="9">
        <v>37.130000000000003</v>
      </c>
      <c r="E47" s="10" cm="1">
        <f t="array" ref="E47">_FV(tbl_AI[[#This Row],[Company]],"Price")</f>
        <v>31.29</v>
      </c>
      <c r="F47" s="1">
        <f>(tbl_AI[[#This Row],[Price]]-tbl_AI[[#This Row],[Start Price]])/tbl_AI[[#This Row],[Start Price]]</f>
        <v>-0.15728521411257751</v>
      </c>
      <c r="G47" s="2">
        <f t="shared" si="2"/>
        <v>0.70386437076711972</v>
      </c>
      <c r="H47" s="2">
        <f>tbl_AI[[#This Row],[% Change]]-tbl_AI[[#This Row],[S&amp;P 500]]</f>
        <v>-0.86114958487969728</v>
      </c>
      <c r="I47" s="2">
        <f t="shared" si="1"/>
        <v>0.27724498692240623</v>
      </c>
      <c r="J47" s="2">
        <f>tbl_AI[[#This Row],[% Change]]-tbl_AI[[#This Row],[TSX 60]]</f>
        <v>-0.43453020103498374</v>
      </c>
    </row>
    <row r="48" spans="1:10" x14ac:dyDescent="0.25">
      <c r="A48" t="e" vm="26">
        <v>#VALUE!</v>
      </c>
      <c r="B48" t="str" cm="1">
        <f t="array" ref="B48">_FV(tbl_AI[[#This Row],[Company]],"Ticker symbol",TRUE)</f>
        <v>TTD</v>
      </c>
      <c r="C48" s="3">
        <v>42754</v>
      </c>
      <c r="D48" s="9">
        <v>29</v>
      </c>
      <c r="E48" s="10" cm="1">
        <f t="array" ref="E48">_FV(tbl_AI[[#This Row],[Company]],"Price")</f>
        <v>57.84</v>
      </c>
      <c r="F48" s="1">
        <f>(tbl_AI[[#This Row],[Price]]-tbl_AI[[#This Row],[Start Price]])/tbl_AI[[#This Row],[Start Price]]</f>
        <v>0.9944827586206898</v>
      </c>
      <c r="G48" s="2">
        <f t="shared" si="2"/>
        <v>0.70386437076711972</v>
      </c>
      <c r="H48" s="2">
        <f>tbl_AI[[#This Row],[% Change]]-tbl_AI[[#This Row],[S&amp;P 500]]</f>
        <v>0.29061838785357008</v>
      </c>
      <c r="I48" s="2">
        <f t="shared" si="1"/>
        <v>0.27724498692240623</v>
      </c>
      <c r="J48" s="2">
        <f>tbl_AI[[#This Row],[% Change]]-tbl_AI[[#This Row],[TSX 60]]</f>
        <v>0.71723777169828362</v>
      </c>
    </row>
    <row r="49" spans="1:10" x14ac:dyDescent="0.25">
      <c r="A49" t="e" vm="27">
        <v>#VALUE!</v>
      </c>
      <c r="B49" t="str" cm="1">
        <f t="array" ref="B49">_FV(tbl_AI[[#This Row],[Company]],"Ticker symbol",TRUE)</f>
        <v>CGNX</v>
      </c>
      <c r="C49" s="3">
        <v>42754</v>
      </c>
      <c r="D49" s="9">
        <v>32.880000000000003</v>
      </c>
      <c r="E49" s="10" cm="1">
        <f t="array" ref="E49">_FV(tbl_AI[[#This Row],[Company]],"Price")</f>
        <v>45.99</v>
      </c>
      <c r="F49" s="1">
        <f>(tbl_AI[[#This Row],[Price]]-tbl_AI[[#This Row],[Start Price]])/tbl_AI[[#This Row],[Start Price]]</f>
        <v>0.39872262773722622</v>
      </c>
      <c r="G49" s="2">
        <f t="shared" si="2"/>
        <v>0.70386437076711972</v>
      </c>
      <c r="H49" s="2">
        <f>tbl_AI[[#This Row],[% Change]]-tbl_AI[[#This Row],[S&amp;P 500]]</f>
        <v>-0.3051417430298935</v>
      </c>
      <c r="I49" s="2">
        <f t="shared" si="1"/>
        <v>0.27724498692240623</v>
      </c>
      <c r="J49" s="2">
        <f>tbl_AI[[#This Row],[% Change]]-tbl_AI[[#This Row],[TSX 60]]</f>
        <v>0.12147764081481999</v>
      </c>
    </row>
    <row r="50" spans="1:10" x14ac:dyDescent="0.25">
      <c r="A50" t="e" vm="28">
        <v>#VALUE!</v>
      </c>
      <c r="B50" t="str" cm="1">
        <f t="array" ref="B50">_FV(tbl_AI[[#This Row],[Company]],"Ticker symbol",TRUE)</f>
        <v>BOX</v>
      </c>
      <c r="C50" s="3">
        <v>42754</v>
      </c>
      <c r="D50" s="9">
        <v>17.02</v>
      </c>
      <c r="E50" s="10" cm="1">
        <f t="array" ref="E50">_FV(tbl_AI[[#This Row],[Company]],"Price")</f>
        <v>28.71</v>
      </c>
      <c r="F50" s="1">
        <f>(tbl_AI[[#This Row],[Price]]-tbl_AI[[#This Row],[Start Price]])/tbl_AI[[#This Row],[Start Price]]</f>
        <v>0.68683901292596949</v>
      </c>
      <c r="G50" s="2">
        <f t="shared" si="2"/>
        <v>0.70386437076711972</v>
      </c>
      <c r="H50" s="2">
        <f>tbl_AI[[#This Row],[% Change]]-tbl_AI[[#This Row],[S&amp;P 500]]</f>
        <v>-1.7025357841150224E-2</v>
      </c>
      <c r="I50" s="2">
        <f t="shared" si="1"/>
        <v>0.27724498692240623</v>
      </c>
      <c r="J50" s="2">
        <f>tbl_AI[[#This Row],[% Change]]-tbl_AI[[#This Row],[TSX 60]]</f>
        <v>0.40959402600356326</v>
      </c>
    </row>
    <row r="51" spans="1:10" x14ac:dyDescent="0.25">
      <c r="A51" t="e" vm="29">
        <v>#VALUE!</v>
      </c>
      <c r="B51" t="str" cm="1">
        <f t="array" ref="B51">_FV(tbl_AI[[#This Row],[Company]],"Ticker symbol",TRUE)</f>
        <v>SPY</v>
      </c>
      <c r="C51" s="3">
        <v>42754</v>
      </c>
      <c r="D51" s="10">
        <v>225.91</v>
      </c>
      <c r="E51" s="10" cm="1">
        <f t="array" ref="E51">_FV(tbl_AI[[#This Row],[Company]],"Price")</f>
        <v>384.92</v>
      </c>
      <c r="F51" s="1">
        <f>(tbl_AI[[#This Row],[Price]]-tbl_AI[[#This Row],[Start Price]])/tbl_AI[[#This Row],[Start Price]]</f>
        <v>0.70386437076711972</v>
      </c>
      <c r="G51" s="2">
        <f t="shared" si="2"/>
        <v>0.70386437076711972</v>
      </c>
      <c r="H51" s="2">
        <f>tbl_AI[[#This Row],[% Change]]-tbl_AI[[#This Row],[S&amp;P 500]]</f>
        <v>0</v>
      </c>
      <c r="I51" s="2">
        <f t="shared" si="1"/>
        <v>0.27724498692240623</v>
      </c>
      <c r="J51" s="2">
        <f>tbl_AI[[#This Row],[% Change]]-tbl_AI[[#This Row],[TSX 60]]</f>
        <v>0.42661938384471348</v>
      </c>
    </row>
    <row r="52" spans="1:10" x14ac:dyDescent="0.25">
      <c r="A52" t="e" vm="30">
        <v>#VALUE!</v>
      </c>
      <c r="B52" t="str" cm="1">
        <f t="array" ref="B52">_FV(tbl_AI[[#This Row],[Company]],"Ticker symbol",TRUE)</f>
        <v>XIU</v>
      </c>
      <c r="C52" s="3">
        <v>42754</v>
      </c>
      <c r="D52" s="10">
        <v>22.94</v>
      </c>
      <c r="E52" s="10" cm="1">
        <f t="array" ref="E52">_FV(tbl_AI[[#This Row],[Company]],"Price")</f>
        <v>29.3</v>
      </c>
      <c r="F52" s="1">
        <f>(tbl_AI[[#This Row],[Price]]-tbl_AI[[#This Row],[Start Price]])/tbl_AI[[#This Row],[Start Price]]</f>
        <v>0.27724498692240623</v>
      </c>
      <c r="G52" s="2">
        <f t="shared" si="2"/>
        <v>0.70386437076711972</v>
      </c>
      <c r="H52" s="2">
        <f>tbl_AI[[#This Row],[% Change]]-tbl_AI[[#This Row],[S&amp;P 500]]</f>
        <v>-0.42661938384471348</v>
      </c>
      <c r="I52" s="2">
        <f t="shared" si="1"/>
        <v>0.27724498692240623</v>
      </c>
      <c r="J52" s="2">
        <f>tbl_AI[[#This Row],[% Change]]-tbl_AI[[#This Row],[TSX 60]]</f>
        <v>0</v>
      </c>
    </row>
    <row r="54" spans="1:10" x14ac:dyDescent="0.25">
      <c r="A54" t="s">
        <v>31</v>
      </c>
      <c r="B54" t="str">
        <f>IFERROR(_xlfn.XLOOKUP(C54,F47:F50,B47:B50),"Check")</f>
        <v>TTD</v>
      </c>
      <c r="C54" s="2">
        <f>MAX(F47:F50)</f>
        <v>0.9944827586206898</v>
      </c>
    </row>
    <row r="55" spans="1:10" x14ac:dyDescent="0.25">
      <c r="A55" t="s">
        <v>30</v>
      </c>
      <c r="B55" t="str">
        <f>IFERROR(_xlfn.XLOOKUP(C55,F47:F50,B47:B50),"Check")</f>
        <v>ZG</v>
      </c>
      <c r="C55" s="2">
        <f>MIN(F47:F50)</f>
        <v>-0.15728521411257751</v>
      </c>
    </row>
    <row r="57" spans="1:10" x14ac:dyDescent="0.25">
      <c r="A57" t="s">
        <v>17</v>
      </c>
      <c r="B57" s="14">
        <f>AVERAGE(tbl_AI[% Change])</f>
        <v>0.30041215712017277</v>
      </c>
    </row>
    <row r="58" spans="1:10" x14ac:dyDescent="0.25">
      <c r="A58" t="s">
        <v>18</v>
      </c>
      <c r="B58" s="1">
        <f>AVERAGE(tbl_AI[S&amp;P 500])</f>
        <v>0.70922803059466888</v>
      </c>
      <c r="E58" s="1"/>
      <c r="F58" s="1"/>
      <c r="H58" s="1"/>
    </row>
    <row r="59" spans="1:10" x14ac:dyDescent="0.25">
      <c r="A59" t="s">
        <v>19</v>
      </c>
      <c r="B59" s="1">
        <f>AVERAGE(tbl_AI[TSX 60])</f>
        <v>0.27724498692240634</v>
      </c>
      <c r="E59" s="1"/>
      <c r="F59" s="1"/>
      <c r="H59" s="1"/>
    </row>
    <row r="60" spans="1:10" x14ac:dyDescent="0.25">
      <c r="A60" s="13" t="s">
        <v>20</v>
      </c>
      <c r="B60" s="6">
        <f>B57-B58</f>
        <v>-0.40881587347449611</v>
      </c>
    </row>
    <row r="61" spans="1:10" x14ac:dyDescent="0.25">
      <c r="A61" s="13" t="s">
        <v>21</v>
      </c>
      <c r="B61" s="6">
        <f>B57-B59</f>
        <v>2.3167170197766429E-2</v>
      </c>
    </row>
  </sheetData>
  <autoFilter ref="A1" xr:uid="{F58ED978-EAED-445C-8D95-4855BC75B1D3}"/>
  <conditionalFormatting sqref="H22:H52 J22:J52">
    <cfRule type="cellIs" dxfId="189" priority="5" operator="lessThan">
      <formula>0</formula>
    </cfRule>
    <cfRule type="cellIs" dxfId="188" priority="6" operator="greaterThan">
      <formula>0</formula>
    </cfRule>
  </conditionalFormatting>
  <conditionalFormatting sqref="B60">
    <cfRule type="cellIs" dxfId="187" priority="3" operator="lessThan">
      <formula>0</formula>
    </cfRule>
    <cfRule type="cellIs" dxfId="186" priority="4" operator="greaterThan">
      <formula>0</formula>
    </cfRule>
  </conditionalFormatting>
  <conditionalFormatting sqref="B61">
    <cfRule type="cellIs" dxfId="185" priority="1" operator="lessThan">
      <formula>0</formula>
    </cfRule>
    <cfRule type="cellIs" dxfId="184" priority="2" operator="greaterThan">
      <formula>0</formula>
    </cfRule>
  </conditionalFormatting>
  <hyperlinks>
    <hyperlink ref="H1" location="OverallStats!A1" display="Return to Overall Stats" xr:uid="{EDD8395F-9A8D-4126-82E2-F0073729A7BB}"/>
  </hyperlinks>
  <pageMargins left="0.25" right="0.25" top="0.75" bottom="0.75" header="0.3" footer="0.3"/>
  <pageSetup orientation="landscape"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99E2A-E994-48E5-9F05-569B1770D582}">
  <dimension ref="A1:I37"/>
  <sheetViews>
    <sheetView workbookViewId="0">
      <selection activeCell="H1" sqref="H1"/>
    </sheetView>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43</v>
      </c>
      <c r="G1" s="7"/>
      <c r="H1" s="7" t="s">
        <v>11</v>
      </c>
    </row>
    <row r="2" spans="1:8" ht="15.75" thickTop="1" x14ac:dyDescent="0.25"/>
    <row r="20" spans="1:9" x14ac:dyDescent="0.25">
      <c r="A20" t="s">
        <v>1</v>
      </c>
      <c r="B20" s="4">
        <v>43303</v>
      </c>
    </row>
    <row r="21" spans="1:9" x14ac:dyDescent="0.25">
      <c r="A21" t="s">
        <v>0</v>
      </c>
      <c r="B21" t="s">
        <v>3</v>
      </c>
      <c r="C21" t="s">
        <v>2</v>
      </c>
      <c r="D21" t="s">
        <v>4</v>
      </c>
      <c r="E21" t="s">
        <v>5</v>
      </c>
      <c r="F21" t="s">
        <v>12</v>
      </c>
      <c r="G21" t="s">
        <v>6</v>
      </c>
      <c r="H21" t="s">
        <v>14</v>
      </c>
      <c r="I21" t="s">
        <v>15</v>
      </c>
    </row>
    <row r="22" spans="1:9" x14ac:dyDescent="0.25">
      <c r="A22" t="e" vm="31">
        <v>#VALUE!</v>
      </c>
      <c r="B22" t="str" cm="1">
        <f t="array" ref="B22">_FV(tbl_CashlessSociety[[#This Row],[Company]],"Ticker symbol",TRUE)</f>
        <v>MA</v>
      </c>
      <c r="C22" s="9">
        <v>202.94</v>
      </c>
      <c r="D22" s="10" cm="1">
        <f t="array" ref="D22">_FV(tbl_CashlessSociety[[#This Row],[Company]],"Price")</f>
        <v>311.41000000000003</v>
      </c>
      <c r="E22" s="1">
        <f>(tbl_CashlessSociety[[#This Row],[Price]]-tbl_CashlessSociety[[#This Row],[Start Price]])/tbl_CashlessSociety[[#This Row],[Start Price]]</f>
        <v>0.53449295358233972</v>
      </c>
      <c r="F22" s="2">
        <f>$E$27</f>
        <v>0.3677776988131618</v>
      </c>
      <c r="G22" s="2">
        <f>tbl_CashlessSociety[[#This Row],[% Change]]-tbl_CashlessSociety[[#This Row],[S&amp;P 500]]</f>
        <v>0.16671525476917792</v>
      </c>
      <c r="H22" s="2">
        <f>$E$28</f>
        <v>0.19202603742880403</v>
      </c>
      <c r="I22" s="2">
        <f>tbl_CashlessSociety[[#This Row],[% Change]]-tbl_CashlessSociety[[#This Row],[TSX 60]]</f>
        <v>0.34246691615353569</v>
      </c>
    </row>
    <row r="23" spans="1:9" x14ac:dyDescent="0.25">
      <c r="A23" t="e" vm="32">
        <v>#VALUE!</v>
      </c>
      <c r="B23" t="str" cm="1">
        <f t="array" ref="B23">_FV(tbl_CashlessSociety[[#This Row],[Company]],"Ticker symbol",TRUE)</f>
        <v>V</v>
      </c>
      <c r="C23" s="9">
        <v>140.71</v>
      </c>
      <c r="D23" s="10" cm="1">
        <f t="array" ref="D23">_FV(tbl_CashlessSociety[[#This Row],[Company]],"Price")</f>
        <v>194.38</v>
      </c>
      <c r="E23" s="1">
        <f>(tbl_CashlessSociety[[#This Row],[Price]]-tbl_CashlessSociety[[#This Row],[Start Price]])/tbl_CashlessSociety[[#This Row],[Start Price]]</f>
        <v>0.38142278445028771</v>
      </c>
      <c r="F23" s="2">
        <f t="shared" ref="F23:F27" si="0">$E$27</f>
        <v>0.3677776988131618</v>
      </c>
      <c r="G23" s="2">
        <f>tbl_CashlessSociety[[#This Row],[% Change]]-tbl_CashlessSociety[[#This Row],[S&amp;P 500]]</f>
        <v>1.3645085637125909E-2</v>
      </c>
      <c r="H23" s="2">
        <f t="shared" ref="H23:H28" si="1">$E$28</f>
        <v>0.19202603742880403</v>
      </c>
      <c r="I23" s="2">
        <f>tbl_CashlessSociety[[#This Row],[% Change]]-tbl_CashlessSociety[[#This Row],[TSX 60]]</f>
        <v>0.18939674702148368</v>
      </c>
    </row>
    <row r="24" spans="1:9" x14ac:dyDescent="0.25">
      <c r="A24" t="e" vm="33">
        <v>#VALUE!</v>
      </c>
      <c r="B24" t="str" cm="1">
        <f t="array" ref="B24">_FV(tbl_CashlessSociety[[#This Row],[Company]],"Ticker symbol",TRUE)</f>
        <v>PYPL</v>
      </c>
      <c r="C24" s="9">
        <v>85.46</v>
      </c>
      <c r="D24" s="10" cm="1">
        <f t="array" ref="D24">_FV(tbl_CashlessSociety[[#This Row],[Company]],"Price")</f>
        <v>89.24</v>
      </c>
      <c r="E24" s="1">
        <f>(tbl_CashlessSociety[[#This Row],[Price]]-tbl_CashlessSociety[[#This Row],[Start Price]])/tbl_CashlessSociety[[#This Row],[Start Price]]</f>
        <v>4.4231219283875516E-2</v>
      </c>
      <c r="F24" s="2">
        <f t="shared" si="0"/>
        <v>0.3677776988131618</v>
      </c>
      <c r="G24" s="2">
        <f>tbl_CashlessSociety[[#This Row],[% Change]]-tbl_CashlessSociety[[#This Row],[S&amp;P 500]]</f>
        <v>-0.32354647952928628</v>
      </c>
      <c r="H24" s="2">
        <f t="shared" si="1"/>
        <v>0.19202603742880403</v>
      </c>
      <c r="I24" s="2">
        <f>tbl_CashlessSociety[[#This Row],[% Change]]-tbl_CashlessSociety[[#This Row],[TSX 60]]</f>
        <v>-0.14779481814492851</v>
      </c>
    </row>
    <row r="25" spans="1:9" x14ac:dyDescent="0.25">
      <c r="A25" t="e" vm="34">
        <v>#VALUE!</v>
      </c>
      <c r="B25" t="str" cm="1">
        <f t="array" ref="B25">_FV(tbl_CashlessSociety[[#This Row],[Company]],"Ticker symbol",TRUE)</f>
        <v>SQ</v>
      </c>
      <c r="C25" s="9">
        <v>69.849999999999994</v>
      </c>
      <c r="D25" s="10" cm="1">
        <f t="array" ref="D25">_FV(tbl_CashlessSociety[[#This Row],[Company]],"Price")</f>
        <v>59.66</v>
      </c>
      <c r="E25" s="1">
        <f>(tbl_CashlessSociety[[#This Row],[Price]]-tbl_CashlessSociety[[#This Row],[Start Price]])/tbl_CashlessSociety[[#This Row],[Start Price]]</f>
        <v>-0.14588403722261989</v>
      </c>
      <c r="F25" s="2">
        <f t="shared" si="0"/>
        <v>0.3677776988131618</v>
      </c>
      <c r="G25" s="2">
        <f>tbl_CashlessSociety[[#This Row],[% Change]]-tbl_CashlessSociety[[#This Row],[S&amp;P 500]]</f>
        <v>-0.51366173603578169</v>
      </c>
      <c r="H25" s="2">
        <f t="shared" si="1"/>
        <v>0.19202603742880403</v>
      </c>
      <c r="I25" s="2">
        <f>tbl_CashlessSociety[[#This Row],[% Change]]-tbl_CashlessSociety[[#This Row],[TSX 60]]</f>
        <v>-0.33791007465142392</v>
      </c>
    </row>
    <row r="26" spans="1:9" x14ac:dyDescent="0.25">
      <c r="A26" t="e" vm="35">
        <v>#VALUE!</v>
      </c>
      <c r="B26" t="str" cm="1">
        <f t="array" ref="B26">_FV(tbl_CashlessSociety[[#This Row],[Company]],"Ticker symbol",TRUE)</f>
        <v>AAPL</v>
      </c>
      <c r="C26" s="9">
        <v>47.74</v>
      </c>
      <c r="D26" s="10" cm="1">
        <f t="array" ref="D26">_FV(tbl_CashlessSociety[[#This Row],[Company]],"Price")</f>
        <v>152.34</v>
      </c>
      <c r="E26" s="1">
        <f>(tbl_CashlessSociety[[#This Row],[Price]]-tbl_CashlessSociety[[#This Row],[Start Price]])/tbl_CashlessSociety[[#This Row],[Start Price]]</f>
        <v>2.1910347716799325</v>
      </c>
      <c r="F26" s="2">
        <f t="shared" si="0"/>
        <v>0.3677776988131618</v>
      </c>
      <c r="G26" s="2">
        <f>tbl_CashlessSociety[[#This Row],[% Change]]-tbl_CashlessSociety[[#This Row],[S&amp;P 500]]</f>
        <v>1.8232570728667707</v>
      </c>
      <c r="H26" s="2">
        <f t="shared" si="1"/>
        <v>0.19202603742880403</v>
      </c>
      <c r="I26" s="2">
        <f>tbl_CashlessSociety[[#This Row],[% Change]]-tbl_CashlessSociety[[#This Row],[TSX 60]]</f>
        <v>1.9990087342511285</v>
      </c>
    </row>
    <row r="27" spans="1:9" x14ac:dyDescent="0.25">
      <c r="A27" t="e" vm="29">
        <v>#VALUE!</v>
      </c>
      <c r="B27" t="str" cm="1">
        <f t="array" ref="B27">_FV(tbl_CashlessSociety[[#This Row],[Company]],"Ticker symbol",TRUE)</f>
        <v>SPY</v>
      </c>
      <c r="C27" s="9">
        <v>281.42</v>
      </c>
      <c r="D27" s="10" cm="1">
        <f t="array" ref="D27">_FV(tbl_CashlessSociety[[#This Row],[Company]],"Price")</f>
        <v>384.92</v>
      </c>
      <c r="E27" s="1">
        <f>(tbl_CashlessSociety[[#This Row],[Price]]-tbl_CashlessSociety[[#This Row],[Start Price]])/tbl_CashlessSociety[[#This Row],[Start Price]]</f>
        <v>0.3677776988131618</v>
      </c>
      <c r="F27" s="2">
        <f t="shared" si="0"/>
        <v>0.3677776988131618</v>
      </c>
      <c r="G27" s="2">
        <f>tbl_CashlessSociety[[#This Row],[% Change]]-tbl_CashlessSociety[[#This Row],[S&amp;P 500]]</f>
        <v>0</v>
      </c>
      <c r="H27" s="2">
        <f t="shared" si="1"/>
        <v>0.19202603742880403</v>
      </c>
      <c r="I27" s="2">
        <f>tbl_CashlessSociety[[#This Row],[% Change]]-tbl_CashlessSociety[[#This Row],[TSX 60]]</f>
        <v>0.17575166138435777</v>
      </c>
    </row>
    <row r="28" spans="1:9" x14ac:dyDescent="0.25">
      <c r="A28" t="e" vm="30">
        <v>#VALUE!</v>
      </c>
      <c r="B28" t="str" cm="1">
        <f t="array" ref="B28">_FV(tbl_CashlessSociety[[#This Row],[Company]],"Ticker symbol",TRUE)</f>
        <v>XIU</v>
      </c>
      <c r="C28" s="9">
        <v>24.58</v>
      </c>
      <c r="D28" s="10" cm="1">
        <f t="array" ref="D28">_FV(tbl_CashlessSociety[[#This Row],[Company]],"Price")</f>
        <v>29.3</v>
      </c>
      <c r="E28" s="1">
        <f>(tbl_CashlessSociety[[#This Row],[Price]]-tbl_CashlessSociety[[#This Row],[Start Price]])/tbl_CashlessSociety[[#This Row],[Start Price]]</f>
        <v>0.19202603742880403</v>
      </c>
      <c r="F28" s="2">
        <f>$E$27</f>
        <v>0.3677776988131618</v>
      </c>
      <c r="G28" s="2">
        <f>tbl_CashlessSociety[[#This Row],[% Change]]-tbl_CashlessSociety[[#This Row],[S&amp;P 500]]</f>
        <v>-0.17575166138435777</v>
      </c>
      <c r="H28" s="2">
        <f t="shared" si="1"/>
        <v>0.19202603742880403</v>
      </c>
      <c r="I28" s="2">
        <f>tbl_CashlessSociety[[#This Row],[% Change]]-tbl_CashlessSociety[[#This Row],[TSX 60]]</f>
        <v>0</v>
      </c>
    </row>
    <row r="30" spans="1:9" x14ac:dyDescent="0.25">
      <c r="A30" t="s">
        <v>31</v>
      </c>
      <c r="B30" t="str">
        <f>IFERROR(_xlfn.XLOOKUP(C30,E22:E26,B22:B26),"Check")</f>
        <v>AAPL</v>
      </c>
      <c r="C30" s="2">
        <f>MAX(E22:E26)</f>
        <v>2.1910347716799325</v>
      </c>
    </row>
    <row r="31" spans="1:9" x14ac:dyDescent="0.25">
      <c r="A31" t="s">
        <v>30</v>
      </c>
      <c r="B31" t="str">
        <f>IFERROR(_xlfn.XLOOKUP(C31,E23:E27,B23:B27),"Check")</f>
        <v>SQ</v>
      </c>
      <c r="C31" s="2">
        <f>MIN(E22:E26)</f>
        <v>-0.14588403722261989</v>
      </c>
    </row>
    <row r="33" spans="1:8" x14ac:dyDescent="0.25">
      <c r="A33" t="s">
        <v>17</v>
      </c>
      <c r="B33" s="14">
        <f>AVERAGE(tbl_CashlessSociety[% Change])</f>
        <v>0.50930020400225451</v>
      </c>
    </row>
    <row r="34" spans="1:8" x14ac:dyDescent="0.25">
      <c r="A34" t="s">
        <v>18</v>
      </c>
      <c r="B34" s="1">
        <f>AVERAGE(tbl_CashlessSociety[S&amp;P 500])</f>
        <v>0.3677776988131618</v>
      </c>
      <c r="E34" s="1"/>
      <c r="F34" s="1"/>
      <c r="H34" s="1"/>
    </row>
    <row r="35" spans="1:8" x14ac:dyDescent="0.25">
      <c r="A35" t="s">
        <v>19</v>
      </c>
      <c r="B35" s="1">
        <f>AVERAGE(tbl_CashlessSociety[TSX 60])</f>
        <v>0.19202603742880406</v>
      </c>
      <c r="E35" s="1"/>
      <c r="F35" s="1"/>
      <c r="H35" s="1"/>
    </row>
    <row r="36" spans="1:8" x14ac:dyDescent="0.25">
      <c r="A36" s="13" t="s">
        <v>20</v>
      </c>
      <c r="B36" s="6">
        <f>B33-B34</f>
        <v>0.14152250518909271</v>
      </c>
    </row>
    <row r="37" spans="1:8" x14ac:dyDescent="0.25">
      <c r="A37" s="13" t="s">
        <v>21</v>
      </c>
      <c r="B37" s="6">
        <f>B33-B35</f>
        <v>0.31727416657345042</v>
      </c>
    </row>
  </sheetData>
  <conditionalFormatting sqref="G22:G28">
    <cfRule type="cellIs" dxfId="176" priority="7" operator="lessThan">
      <formula>0</formula>
    </cfRule>
    <cfRule type="cellIs" dxfId="175" priority="8" operator="greaterThan">
      <formula>0</formula>
    </cfRule>
  </conditionalFormatting>
  <conditionalFormatting sqref="B36">
    <cfRule type="cellIs" dxfId="174" priority="5" operator="lessThan">
      <formula>0</formula>
    </cfRule>
    <cfRule type="cellIs" dxfId="173" priority="6" operator="greaterThan">
      <formula>0</formula>
    </cfRule>
  </conditionalFormatting>
  <conditionalFormatting sqref="I22:I28">
    <cfRule type="cellIs" dxfId="172" priority="3" operator="lessThan">
      <formula>0</formula>
    </cfRule>
    <cfRule type="cellIs" dxfId="171" priority="4" operator="greaterThan">
      <formula>0</formula>
    </cfRule>
  </conditionalFormatting>
  <conditionalFormatting sqref="B37">
    <cfRule type="cellIs" dxfId="170" priority="1" operator="lessThan">
      <formula>0</formula>
    </cfRule>
    <cfRule type="cellIs" dxfId="169" priority="2" operator="greaterThan">
      <formula>0</formula>
    </cfRule>
  </conditionalFormatting>
  <hyperlinks>
    <hyperlink ref="H1" location="OverallStats!A1" display="Return to Overall Stats" xr:uid="{8E9F8566-A766-474F-A759-042447D4AF1C}"/>
  </hyperlinks>
  <pageMargins left="0.25" right="0.25" top="0.75" bottom="0.75" header="0.3" footer="0.3"/>
  <pageSetup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FF331-4ED3-43E7-97FC-899755874A2A}">
  <dimension ref="A1:I37"/>
  <sheetViews>
    <sheetView workbookViewId="0">
      <selection activeCell="H1" sqref="H1"/>
    </sheetView>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44</v>
      </c>
      <c r="G1" s="7"/>
      <c r="H1" s="7" t="s">
        <v>11</v>
      </c>
    </row>
    <row r="2" spans="1:8" ht="15.75" thickTop="1" x14ac:dyDescent="0.25"/>
    <row r="20" spans="1:9" x14ac:dyDescent="0.25">
      <c r="A20" t="s">
        <v>1</v>
      </c>
      <c r="B20" s="4">
        <v>43962</v>
      </c>
    </row>
    <row r="21" spans="1:9" x14ac:dyDescent="0.25">
      <c r="A21" t="s">
        <v>0</v>
      </c>
      <c r="B21" t="s">
        <v>3</v>
      </c>
      <c r="C21" t="s">
        <v>2</v>
      </c>
      <c r="D21" t="s">
        <v>4</v>
      </c>
      <c r="E21" t="s">
        <v>5</v>
      </c>
      <c r="F21" t="s">
        <v>12</v>
      </c>
      <c r="G21" t="s">
        <v>6</v>
      </c>
      <c r="H21" t="s">
        <v>14</v>
      </c>
      <c r="I21" t="s">
        <v>15</v>
      </c>
    </row>
    <row r="22" spans="1:9" x14ac:dyDescent="0.25">
      <c r="A22" t="e" vm="36">
        <v>#VALUE!</v>
      </c>
      <c r="B22" t="str" cm="1">
        <f t="array" ref="B22">_FV(tbl_DigitalRevolution[[#This Row],[Company]],"Ticker symbol",TRUE)</f>
        <v>DOCU</v>
      </c>
      <c r="C22" s="9">
        <v>120.65</v>
      </c>
      <c r="D22" s="10" cm="1">
        <f t="array" ref="D22">_FV(tbl_DigitalRevolution[[#This Row],[Company]],"Price")</f>
        <v>50.23</v>
      </c>
      <c r="E22" s="1">
        <f>(tbl_DigitalRevolution[[#This Row],[Price]]-tbl_DigitalRevolution[[#This Row],[Start Price]])/tbl_DigitalRevolution[[#This Row],[Start Price]]</f>
        <v>-0.58367177786987168</v>
      </c>
      <c r="F22" s="2">
        <f>$E$27</f>
        <v>0.3677776988131618</v>
      </c>
      <c r="G22" s="2">
        <f>tbl_DigitalRevolution[[#This Row],[% Change]]-tbl_DigitalRevolution[[#This Row],[S&amp;P 500]]</f>
        <v>-0.95144947668303348</v>
      </c>
      <c r="H22" s="2">
        <f>$E$28</f>
        <v>0.2634756360500215</v>
      </c>
      <c r="I22" s="2">
        <f>tbl_DigitalRevolution[[#This Row],[% Change]]-tbl_DigitalRevolution[[#This Row],[TSX 60]]</f>
        <v>-0.84714741391989312</v>
      </c>
    </row>
    <row r="23" spans="1:9" x14ac:dyDescent="0.25">
      <c r="A23" t="e" vm="37">
        <v>#VALUE!</v>
      </c>
      <c r="B23" t="str" cm="1">
        <f t="array" ref="B23">_FV(tbl_DigitalRevolution[[#This Row],[Company]],"Ticker symbol",TRUE)</f>
        <v>TDOC</v>
      </c>
      <c r="C23" s="9">
        <v>190.62</v>
      </c>
      <c r="D23" s="10" cm="1">
        <f t="array" ref="D23">_FV(tbl_DigitalRevolution[[#This Row],[Company]],"Price")</f>
        <v>26.75</v>
      </c>
      <c r="E23" s="1">
        <f>(tbl_DigitalRevolution[[#This Row],[Price]]-tbl_DigitalRevolution[[#This Row],[Start Price]])/tbl_DigitalRevolution[[#This Row],[Start Price]]</f>
        <v>-0.85966845032000838</v>
      </c>
      <c r="F23" s="2">
        <f t="shared" ref="F23:F27" si="0">$E$27</f>
        <v>0.3677776988131618</v>
      </c>
      <c r="G23" s="2">
        <f>tbl_DigitalRevolution[[#This Row],[% Change]]-tbl_DigitalRevolution[[#This Row],[S&amp;P 500]]</f>
        <v>-1.2274461491331703</v>
      </c>
      <c r="H23" s="2">
        <f t="shared" ref="H23:H28" si="1">$E$28</f>
        <v>0.2634756360500215</v>
      </c>
      <c r="I23" s="2">
        <f>tbl_DigitalRevolution[[#This Row],[% Change]]-tbl_DigitalRevolution[[#This Row],[TSX 60]]</f>
        <v>-1.1231440863700299</v>
      </c>
    </row>
    <row r="24" spans="1:9" x14ac:dyDescent="0.25">
      <c r="A24" t="e" vm="11">
        <v>#VALUE!</v>
      </c>
      <c r="B24" t="str" cm="1">
        <f t="array" ref="B24">_FV(tbl_DigitalRevolution[[#This Row],[Company]],"Ticker symbol",TRUE)</f>
        <v>ROKU</v>
      </c>
      <c r="C24" s="9">
        <v>132.18</v>
      </c>
      <c r="D24" s="10" cm="1">
        <f t="array" ref="D24">_FV(tbl_DigitalRevolution[[#This Row],[Company]],"Price")</f>
        <v>55.34</v>
      </c>
      <c r="E24" s="1">
        <f>(tbl_DigitalRevolution[[#This Row],[Price]]-tbl_DigitalRevolution[[#This Row],[Start Price]])/tbl_DigitalRevolution[[#This Row],[Start Price]]</f>
        <v>-0.58132849145105159</v>
      </c>
      <c r="F24" s="2">
        <f t="shared" si="0"/>
        <v>0.3677776988131618</v>
      </c>
      <c r="G24" s="2">
        <f>tbl_DigitalRevolution[[#This Row],[% Change]]-tbl_DigitalRevolution[[#This Row],[S&amp;P 500]]</f>
        <v>-0.94910619026421339</v>
      </c>
      <c r="H24" s="2">
        <f t="shared" si="1"/>
        <v>0.2634756360500215</v>
      </c>
      <c r="I24" s="2">
        <f>tbl_DigitalRevolution[[#This Row],[% Change]]-tbl_DigitalRevolution[[#This Row],[TSX 60]]</f>
        <v>-0.84480412750107314</v>
      </c>
    </row>
    <row r="25" spans="1:9" x14ac:dyDescent="0.25">
      <c r="A25" t="e" vm="26">
        <v>#VALUE!</v>
      </c>
      <c r="B25" t="str" cm="1">
        <f t="array" ref="B25">_FV(tbl_DigitalRevolution[[#This Row],[Company]],"Ticker symbol",TRUE)</f>
        <v>TTD</v>
      </c>
      <c r="C25" s="9">
        <v>305.33</v>
      </c>
      <c r="D25" s="10" cm="1">
        <f t="array" ref="D25">_FV(tbl_DigitalRevolution[[#This Row],[Company]],"Price")</f>
        <v>57.84</v>
      </c>
      <c r="E25" s="1">
        <f>(tbl_DigitalRevolution[[#This Row],[Price]]-tbl_DigitalRevolution[[#This Row],[Start Price]])/tbl_DigitalRevolution[[#This Row],[Start Price]]</f>
        <v>-0.81056561752857559</v>
      </c>
      <c r="F25" s="2">
        <f t="shared" si="0"/>
        <v>0.3677776988131618</v>
      </c>
      <c r="G25" s="2">
        <f>tbl_DigitalRevolution[[#This Row],[% Change]]-tbl_DigitalRevolution[[#This Row],[S&amp;P 500]]</f>
        <v>-1.1783433163417374</v>
      </c>
      <c r="H25" s="2">
        <f t="shared" si="1"/>
        <v>0.2634756360500215</v>
      </c>
      <c r="I25" s="2">
        <f>tbl_DigitalRevolution[[#This Row],[% Change]]-tbl_DigitalRevolution[[#This Row],[TSX 60]]</f>
        <v>-1.074041253578597</v>
      </c>
    </row>
    <row r="26" spans="1:9" x14ac:dyDescent="0.25">
      <c r="A26" t="e" vm="38">
        <v>#VALUE!</v>
      </c>
      <c r="B26" t="str" cm="1">
        <f t="array" ref="B26">_FV(tbl_DigitalRevolution[[#This Row],[Company]],"Ticker symbol",TRUE)</f>
        <v>CRWD</v>
      </c>
      <c r="C26" s="9">
        <v>76.23</v>
      </c>
      <c r="D26" s="10" cm="1">
        <f t="array" ref="D26">_FV(tbl_DigitalRevolution[[#This Row],[Company]],"Price")</f>
        <v>162.11000000000001</v>
      </c>
      <c r="E26" s="1">
        <f>(tbl_DigitalRevolution[[#This Row],[Price]]-tbl_DigitalRevolution[[#This Row],[Start Price]])/tbl_DigitalRevolution[[#This Row],[Start Price]]</f>
        <v>1.1265905811360357</v>
      </c>
      <c r="F26" s="2">
        <f t="shared" si="0"/>
        <v>0.3677776988131618</v>
      </c>
      <c r="G26" s="2">
        <f>tbl_DigitalRevolution[[#This Row],[% Change]]-tbl_DigitalRevolution[[#This Row],[S&amp;P 500]]</f>
        <v>0.75881288232287392</v>
      </c>
      <c r="H26" s="2">
        <f t="shared" si="1"/>
        <v>0.2634756360500215</v>
      </c>
      <c r="I26" s="2">
        <f>tbl_DigitalRevolution[[#This Row],[% Change]]-tbl_DigitalRevolution[[#This Row],[TSX 60]]</f>
        <v>0.86311494508601427</v>
      </c>
    </row>
    <row r="27" spans="1:9" x14ac:dyDescent="0.25">
      <c r="A27" t="e" vm="29">
        <v>#VALUE!</v>
      </c>
      <c r="B27" t="str" cm="1">
        <f t="array" ref="B27">_FV(tbl_DigitalRevolution[[#This Row],[Company]],"Ticker symbol",TRUE)</f>
        <v>SPY</v>
      </c>
      <c r="C27" s="9">
        <v>281.42</v>
      </c>
      <c r="D27" s="10" cm="1">
        <f t="array" ref="D27">_FV(tbl_DigitalRevolution[[#This Row],[Company]],"Price")</f>
        <v>384.92</v>
      </c>
      <c r="E27" s="1">
        <f>(tbl_DigitalRevolution[[#This Row],[Price]]-tbl_DigitalRevolution[[#This Row],[Start Price]])/tbl_DigitalRevolution[[#This Row],[Start Price]]</f>
        <v>0.3677776988131618</v>
      </c>
      <c r="F27" s="2">
        <f t="shared" si="0"/>
        <v>0.3677776988131618</v>
      </c>
      <c r="G27" s="2">
        <f>tbl_DigitalRevolution[[#This Row],[% Change]]-tbl_DigitalRevolution[[#This Row],[S&amp;P 500]]</f>
        <v>0</v>
      </c>
      <c r="H27" s="2">
        <f t="shared" si="1"/>
        <v>0.2634756360500215</v>
      </c>
      <c r="I27" s="2">
        <f>tbl_DigitalRevolution[[#This Row],[% Change]]-tbl_DigitalRevolution[[#This Row],[TSX 60]]</f>
        <v>0.1043020627631403</v>
      </c>
    </row>
    <row r="28" spans="1:9" x14ac:dyDescent="0.25">
      <c r="A28" t="e" vm="30">
        <v>#VALUE!</v>
      </c>
      <c r="B28" t="str" cm="1">
        <f t="array" ref="B28">_FV(tbl_DigitalRevolution[[#This Row],[Company]],"Ticker symbol",TRUE)</f>
        <v>XIU</v>
      </c>
      <c r="C28" s="9">
        <v>23.19</v>
      </c>
      <c r="D28" s="10" cm="1">
        <f t="array" ref="D28">_FV(tbl_DigitalRevolution[[#This Row],[Company]],"Price")</f>
        <v>29.3</v>
      </c>
      <c r="E28" s="1">
        <f>(tbl_DigitalRevolution[[#This Row],[Price]]-tbl_DigitalRevolution[[#This Row],[Start Price]])/tbl_DigitalRevolution[[#This Row],[Start Price]]</f>
        <v>0.2634756360500215</v>
      </c>
      <c r="F28" s="2">
        <f>$E$27</f>
        <v>0.3677776988131618</v>
      </c>
      <c r="G28" s="2">
        <f>tbl_DigitalRevolution[[#This Row],[% Change]]-tbl_DigitalRevolution[[#This Row],[S&amp;P 500]]</f>
        <v>-0.1043020627631403</v>
      </c>
      <c r="H28" s="2">
        <f t="shared" si="1"/>
        <v>0.2634756360500215</v>
      </c>
      <c r="I28" s="2">
        <f>tbl_DigitalRevolution[[#This Row],[% Change]]-tbl_DigitalRevolution[[#This Row],[TSX 60]]</f>
        <v>0</v>
      </c>
    </row>
    <row r="30" spans="1:9" x14ac:dyDescent="0.25">
      <c r="A30" t="s">
        <v>31</v>
      </c>
      <c r="B30" t="str">
        <f>IFERROR(_xlfn.XLOOKUP(C30,E22:E26,B22:B26),"Check")</f>
        <v>CRWD</v>
      </c>
      <c r="C30" s="2">
        <f>MAX(E22:E26)</f>
        <v>1.1265905811360357</v>
      </c>
    </row>
    <row r="31" spans="1:9" x14ac:dyDescent="0.25">
      <c r="A31" t="s">
        <v>30</v>
      </c>
      <c r="B31" t="str">
        <f>IFERROR(_xlfn.XLOOKUP(C31,E23:E27,B23:B27),"Check")</f>
        <v>TDOC</v>
      </c>
      <c r="C31" s="2">
        <f>MIN(E22:E26)</f>
        <v>-0.85966845032000838</v>
      </c>
    </row>
    <row r="33" spans="1:8" x14ac:dyDescent="0.25">
      <c r="A33" t="s">
        <v>17</v>
      </c>
      <c r="B33" s="14">
        <f>AVERAGE(tbl_DigitalRevolution[% Change])</f>
        <v>-0.15391291731004117</v>
      </c>
    </row>
    <row r="34" spans="1:8" x14ac:dyDescent="0.25">
      <c r="A34" t="s">
        <v>18</v>
      </c>
      <c r="B34" s="1">
        <f>AVERAGE(tbl_DigitalRevolution[S&amp;P 500])</f>
        <v>0.3677776988131618</v>
      </c>
      <c r="E34" s="1"/>
      <c r="F34" s="1"/>
      <c r="H34" s="1"/>
    </row>
    <row r="35" spans="1:8" x14ac:dyDescent="0.25">
      <c r="A35" t="s">
        <v>19</v>
      </c>
      <c r="B35" s="1">
        <f>AVERAGE(tbl_DigitalRevolution[TSX 60])</f>
        <v>0.2634756360500215</v>
      </c>
      <c r="E35" s="1"/>
      <c r="F35" s="1"/>
      <c r="H35" s="1"/>
    </row>
    <row r="36" spans="1:8" x14ac:dyDescent="0.25">
      <c r="A36" s="13" t="s">
        <v>20</v>
      </c>
      <c r="B36" s="6">
        <f>B33-B34</f>
        <v>-0.521690616123203</v>
      </c>
    </row>
    <row r="37" spans="1:8" x14ac:dyDescent="0.25">
      <c r="A37" s="13" t="s">
        <v>21</v>
      </c>
      <c r="B37" s="6">
        <f>B33-B35</f>
        <v>-0.41738855336006264</v>
      </c>
    </row>
  </sheetData>
  <conditionalFormatting sqref="G22:G28">
    <cfRule type="cellIs" dxfId="161" priority="7" operator="lessThan">
      <formula>0</formula>
    </cfRule>
    <cfRule type="cellIs" dxfId="160" priority="8" operator="greaterThan">
      <formula>0</formula>
    </cfRule>
  </conditionalFormatting>
  <conditionalFormatting sqref="B36">
    <cfRule type="cellIs" dxfId="159" priority="5" operator="lessThan">
      <formula>0</formula>
    </cfRule>
    <cfRule type="cellIs" dxfId="158" priority="6" operator="greaterThan">
      <formula>0</formula>
    </cfRule>
  </conditionalFormatting>
  <conditionalFormatting sqref="I22:I28">
    <cfRule type="cellIs" dxfId="157" priority="3" operator="lessThan">
      <formula>0</formula>
    </cfRule>
    <cfRule type="cellIs" dxfId="156" priority="4" operator="greaterThan">
      <formula>0</formula>
    </cfRule>
  </conditionalFormatting>
  <conditionalFormatting sqref="B37">
    <cfRule type="cellIs" dxfId="155" priority="1" operator="lessThan">
      <formula>0</formula>
    </cfRule>
    <cfRule type="cellIs" dxfId="154" priority="2" operator="greaterThan">
      <formula>0</formula>
    </cfRule>
  </conditionalFormatting>
  <hyperlinks>
    <hyperlink ref="H1" location="OverallStats!A1" display="Return to Overall Stats" xr:uid="{6903D95A-3685-4E20-9EBA-4836B5BE79CF}"/>
  </hyperlinks>
  <pageMargins left="0.25" right="0.25" top="0.75" bottom="0.75" header="0.3" footer="0.3"/>
  <pageSetup orientation="landscape"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C1FA2-AD53-45EB-BAE2-35DE65486333}">
  <dimension ref="A1:I37"/>
  <sheetViews>
    <sheetView workbookViewId="0">
      <selection activeCell="A2" sqref="A2"/>
    </sheetView>
  </sheetViews>
  <sheetFormatPr defaultRowHeight="15" x14ac:dyDescent="0.25"/>
  <cols>
    <col min="1" max="1" width="41.28515625" bestFit="1" customWidth="1"/>
    <col min="2" max="2" width="13.28515625" bestFit="1" customWidth="1"/>
    <col min="3" max="3" width="10" bestFit="1" customWidth="1"/>
    <col min="4" max="4" width="8.140625" bestFit="1" customWidth="1"/>
    <col min="5" max="5" width="9.5703125" bestFit="1" customWidth="1"/>
    <col min="6" max="6" width="8.140625" bestFit="1" customWidth="1"/>
    <col min="7" max="7" width="9.85546875" bestFit="1" customWidth="1"/>
  </cols>
  <sheetData>
    <row r="1" spans="1:8" ht="20.25" thickBot="1" x14ac:dyDescent="0.35">
      <c r="A1" s="5" t="s">
        <v>27</v>
      </c>
      <c r="G1" s="7"/>
      <c r="H1" s="7" t="s">
        <v>11</v>
      </c>
    </row>
    <row r="2" spans="1:8" ht="15.75" thickTop="1" x14ac:dyDescent="0.25"/>
    <row r="20" spans="1:9" x14ac:dyDescent="0.25">
      <c r="A20" t="s">
        <v>1</v>
      </c>
      <c r="B20" s="4">
        <v>44086</v>
      </c>
    </row>
    <row r="21" spans="1:9" x14ac:dyDescent="0.25">
      <c r="A21" t="s">
        <v>0</v>
      </c>
      <c r="B21" t="s">
        <v>3</v>
      </c>
      <c r="C21" t="s">
        <v>2</v>
      </c>
      <c r="D21" t="s">
        <v>4</v>
      </c>
      <c r="E21" t="s">
        <v>5</v>
      </c>
      <c r="F21" t="s">
        <v>12</v>
      </c>
      <c r="G21" t="s">
        <v>6</v>
      </c>
      <c r="H21" t="s">
        <v>14</v>
      </c>
      <c r="I21" t="s">
        <v>15</v>
      </c>
    </row>
    <row r="22" spans="1:9" x14ac:dyDescent="0.25">
      <c r="A22" t="e" vm="39">
        <v>#VALUE!</v>
      </c>
      <c r="B22" t="str" cm="1">
        <f t="array" ref="B22">_FV(tbl_CDNStarter[[#This Row],[Company]],"Ticker symbol",TRUE)</f>
        <v>CNR</v>
      </c>
      <c r="C22" s="9">
        <v>139.09</v>
      </c>
      <c r="D22" s="10" cm="1">
        <f t="array" ref="D22">_FV(tbl_CDNStarter[[#This Row],[Company]],"Price")</f>
        <v>157.25</v>
      </c>
      <c r="E22" s="2">
        <f>(tbl_CDNStarter[[#This Row],[Price]]-tbl_CDNStarter[[#This Row],[Start Price]])/tbl_CDNStarter[[#This Row],[Start Price]]</f>
        <v>0.13056294485584871</v>
      </c>
      <c r="F22" s="2">
        <f>$E$27</f>
        <v>0.15224809914386642</v>
      </c>
      <c r="G22" s="2">
        <f>tbl_CDNStarter[[#This Row],[% Change]]-tbl_CDNStarter[[#This Row],[S&amp;P 500]]</f>
        <v>-2.1685154288017705E-2</v>
      </c>
      <c r="H22" s="2">
        <f>$E$28</f>
        <v>0.19591836734693879</v>
      </c>
      <c r="I22" s="2">
        <f>tbl_CDNStarter[[#This Row],[% Change]]-tbl_CDNStarter[[#This Row],[TSX 60]]</f>
        <v>-6.5355422491090082E-2</v>
      </c>
    </row>
    <row r="23" spans="1:9" x14ac:dyDescent="0.25">
      <c r="A23" t="e" vm="40">
        <v>#VALUE!</v>
      </c>
      <c r="B23" t="str" cm="1">
        <f t="array" ref="B23">_FV(tbl_CDNStarter[[#This Row],[Company]],"Ticker symbol",TRUE)</f>
        <v>RY</v>
      </c>
      <c r="C23" s="9">
        <v>97.18</v>
      </c>
      <c r="D23" s="10" cm="1">
        <f t="array" ref="D23">_FV(tbl_CDNStarter[[#This Row],[Company]],"Price")</f>
        <v>123.88</v>
      </c>
      <c r="E23" s="2">
        <f>(tbl_CDNStarter[[#This Row],[Price]]-tbl_CDNStarter[[#This Row],[Start Price]])/tbl_CDNStarter[[#This Row],[Start Price]]</f>
        <v>0.27474789051245097</v>
      </c>
      <c r="F23" s="2">
        <f t="shared" ref="F23:F27" si="0">$E$27</f>
        <v>0.15224809914386642</v>
      </c>
      <c r="G23" s="2">
        <f>tbl_CDNStarter[[#This Row],[% Change]]-tbl_CDNStarter[[#This Row],[S&amp;P 500]]</f>
        <v>0.12249979136858455</v>
      </c>
      <c r="H23" s="2">
        <f t="shared" ref="H23:H28" si="1">$E$28</f>
        <v>0.19591836734693879</v>
      </c>
      <c r="I23" s="2">
        <f>tbl_CDNStarter[[#This Row],[% Change]]-tbl_CDNStarter[[#This Row],[TSX 60]]</f>
        <v>7.8829523165512172E-2</v>
      </c>
    </row>
    <row r="24" spans="1:9" x14ac:dyDescent="0.25">
      <c r="A24" t="e" vm="41">
        <v>#VALUE!</v>
      </c>
      <c r="B24" t="str" cm="1">
        <f t="array" ref="B24">_FV(tbl_CDNStarter[[#This Row],[Company]],"Ticker symbol",TRUE)</f>
        <v>BAM.A</v>
      </c>
      <c r="C24" s="9">
        <v>43.55</v>
      </c>
      <c r="D24" s="10" cm="1">
        <f t="array" ref="D24">_FV(tbl_CDNStarter[[#This Row],[Company]],"Price")</f>
        <v>53.36</v>
      </c>
      <c r="E24" s="2">
        <f>(tbl_CDNStarter[[#This Row],[Price]]-tbl_CDNStarter[[#This Row],[Start Price]])/tbl_CDNStarter[[#This Row],[Start Price]]</f>
        <v>0.22525832376578653</v>
      </c>
      <c r="F24" s="2">
        <f t="shared" si="0"/>
        <v>0.15224809914386642</v>
      </c>
      <c r="G24" s="2">
        <f>tbl_CDNStarter[[#This Row],[% Change]]-tbl_CDNStarter[[#This Row],[S&amp;P 500]]</f>
        <v>7.3010224621920111E-2</v>
      </c>
      <c r="H24" s="2">
        <f t="shared" si="1"/>
        <v>0.19591836734693879</v>
      </c>
      <c r="I24" s="2">
        <f>tbl_CDNStarter[[#This Row],[% Change]]-tbl_CDNStarter[[#This Row],[TSX 60]]</f>
        <v>2.9339956418847735E-2</v>
      </c>
    </row>
    <row r="25" spans="1:9" x14ac:dyDescent="0.25">
      <c r="A25" t="e" vm="42">
        <v>#VALUE!</v>
      </c>
      <c r="B25" t="str" cm="1">
        <f t="array" ref="B25">_FV(tbl_CDNStarter[[#This Row],[Company]],"Ticker symbol",TRUE)</f>
        <v>FTS</v>
      </c>
      <c r="C25" s="9">
        <v>53.11</v>
      </c>
      <c r="D25" s="10" cm="1">
        <f t="array" ref="D25">_FV(tbl_CDNStarter[[#This Row],[Company]],"Price")</f>
        <v>51.84</v>
      </c>
      <c r="E25" s="2">
        <f>(tbl_CDNStarter[[#This Row],[Price]]-tbl_CDNStarter[[#This Row],[Start Price]])/tbl_CDNStarter[[#This Row],[Start Price]]</f>
        <v>-2.3912634155526191E-2</v>
      </c>
      <c r="F25" s="2">
        <f t="shared" si="0"/>
        <v>0.15224809914386642</v>
      </c>
      <c r="G25" s="2">
        <f>tbl_CDNStarter[[#This Row],[% Change]]-tbl_CDNStarter[[#This Row],[S&amp;P 500]]</f>
        <v>-0.17616073329939261</v>
      </c>
      <c r="H25" s="2">
        <f t="shared" si="1"/>
        <v>0.19591836734693879</v>
      </c>
      <c r="I25" s="2">
        <f>tbl_CDNStarter[[#This Row],[% Change]]-tbl_CDNStarter[[#This Row],[TSX 60]]</f>
        <v>-0.21983100150246498</v>
      </c>
    </row>
    <row r="26" spans="1:9" x14ac:dyDescent="0.25">
      <c r="A26" t="e" vm="43">
        <v>#VALUE!</v>
      </c>
      <c r="B26" t="str" cm="1">
        <f t="array" ref="B26">_FV(tbl_CDNStarter[[#This Row],[Company]],"Ticker symbol",TRUE)</f>
        <v>SHOP</v>
      </c>
      <c r="C26" s="9">
        <v>120.75</v>
      </c>
      <c r="D26" s="10" cm="1">
        <f t="array" ref="D26">_FV(tbl_CDNStarter[[#This Row],[Company]],"Price")</f>
        <v>40.630000000000003</v>
      </c>
      <c r="E26" s="2">
        <f>(tbl_CDNStarter[[#This Row],[Price]]-tbl_CDNStarter[[#This Row],[Start Price]])/tbl_CDNStarter[[#This Row],[Start Price]]</f>
        <v>-0.66351966873706003</v>
      </c>
      <c r="F26" s="2">
        <f t="shared" si="0"/>
        <v>0.15224809914386642</v>
      </c>
      <c r="G26" s="2">
        <f>tbl_CDNStarter[[#This Row],[% Change]]-tbl_CDNStarter[[#This Row],[S&amp;P 500]]</f>
        <v>-0.81576776788092642</v>
      </c>
      <c r="H26" s="2">
        <f t="shared" si="1"/>
        <v>0.19591836734693879</v>
      </c>
      <c r="I26" s="2">
        <f>tbl_CDNStarter[[#This Row],[% Change]]-tbl_CDNStarter[[#This Row],[TSX 60]]</f>
        <v>-0.85943803608399882</v>
      </c>
    </row>
    <row r="27" spans="1:9" x14ac:dyDescent="0.25">
      <c r="A27" t="e" vm="29">
        <v>#VALUE!</v>
      </c>
      <c r="B27" t="str" cm="1">
        <f t="array" ref="B27">_FV(tbl_CDNStarter[[#This Row],[Company]],"Ticker symbol",TRUE)</f>
        <v>SPY</v>
      </c>
      <c r="C27" s="9">
        <v>334.06</v>
      </c>
      <c r="D27" s="10" cm="1">
        <f t="array" ref="D27">_FV(tbl_CDNStarter[[#This Row],[Company]],"Price")</f>
        <v>384.92</v>
      </c>
      <c r="E27" s="2">
        <f>(tbl_CDNStarter[[#This Row],[Price]]-tbl_CDNStarter[[#This Row],[Start Price]])/tbl_CDNStarter[[#This Row],[Start Price]]</f>
        <v>0.15224809914386642</v>
      </c>
      <c r="F27" s="2">
        <f t="shared" si="0"/>
        <v>0.15224809914386642</v>
      </c>
      <c r="G27" s="2">
        <f>tbl_CDNStarter[[#This Row],[% Change]]-tbl_CDNStarter[[#This Row],[S&amp;P 500]]</f>
        <v>0</v>
      </c>
      <c r="H27" s="2">
        <f t="shared" si="1"/>
        <v>0.19591836734693879</v>
      </c>
      <c r="I27" s="2">
        <f>tbl_CDNStarter[[#This Row],[% Change]]-tbl_CDNStarter[[#This Row],[TSX 60]]</f>
        <v>-4.3670268203072377E-2</v>
      </c>
    </row>
    <row r="28" spans="1:9" x14ac:dyDescent="0.25">
      <c r="A28" t="e" vm="30">
        <v>#VALUE!</v>
      </c>
      <c r="B28" t="str" cm="1">
        <f t="array" ref="B28">_FV(tbl_CDNStarter[[#This Row],[Company]],"Ticker symbol",TRUE)</f>
        <v>XIU</v>
      </c>
      <c r="C28" s="9">
        <v>24.5</v>
      </c>
      <c r="D28" s="10" cm="1">
        <f t="array" ref="D28">_FV(tbl_CDNStarter[[#This Row],[Company]],"Price")</f>
        <v>29.3</v>
      </c>
      <c r="E28" s="2">
        <f>(tbl_CDNStarter[[#This Row],[Price]]-tbl_CDNStarter[[#This Row],[Start Price]])/tbl_CDNStarter[[#This Row],[Start Price]]</f>
        <v>0.19591836734693879</v>
      </c>
      <c r="F28" s="2">
        <f>$E$27</f>
        <v>0.15224809914386642</v>
      </c>
      <c r="G28" s="2">
        <f>tbl_CDNStarter[[#This Row],[% Change]]-tbl_CDNStarter[[#This Row],[S&amp;P 500]]</f>
        <v>4.3670268203072377E-2</v>
      </c>
      <c r="H28" s="2">
        <f t="shared" si="1"/>
        <v>0.19591836734693879</v>
      </c>
      <c r="I28" s="2">
        <f>tbl_CDNStarter[[#This Row],[% Change]]-tbl_CDNStarter[[#This Row],[TSX 60]]</f>
        <v>0</v>
      </c>
    </row>
    <row r="30" spans="1:9" x14ac:dyDescent="0.25">
      <c r="A30" t="s">
        <v>31</v>
      </c>
      <c r="B30" t="str">
        <f>IFERROR(_xlfn.XLOOKUP(C30,E22:E26,B22:B26),"Check")</f>
        <v>RY</v>
      </c>
      <c r="C30" s="2">
        <f>MAX(E22:E26)</f>
        <v>0.27474789051245097</v>
      </c>
    </row>
    <row r="31" spans="1:9" x14ac:dyDescent="0.25">
      <c r="A31" t="s">
        <v>30</v>
      </c>
      <c r="B31" t="str">
        <f>IFERROR(_xlfn.XLOOKUP(C31,E22:E26,B22:B26),"Check")</f>
        <v>SHOP</v>
      </c>
      <c r="C31" s="2">
        <f>MIN(E22:E26)</f>
        <v>-0.66351966873706003</v>
      </c>
    </row>
    <row r="33" spans="1:8" x14ac:dyDescent="0.25">
      <c r="A33" t="s">
        <v>17</v>
      </c>
      <c r="B33" s="14">
        <f>AVERAGE(tbl_CDNStarter[% Change])</f>
        <v>4.1614760390329311E-2</v>
      </c>
    </row>
    <row r="34" spans="1:8" x14ac:dyDescent="0.25">
      <c r="A34" t="s">
        <v>18</v>
      </c>
      <c r="B34" s="1">
        <f>AVERAGE(tbl_CDNStarter[S&amp;P 500])</f>
        <v>0.15224809914386642</v>
      </c>
      <c r="E34" s="1"/>
      <c r="F34" s="1"/>
      <c r="H34" s="1"/>
    </row>
    <row r="35" spans="1:8" x14ac:dyDescent="0.25">
      <c r="A35" t="s">
        <v>19</v>
      </c>
      <c r="B35" s="1">
        <f>AVERAGE(tbl_CDNStarter[TSX 60])</f>
        <v>0.19591836734693877</v>
      </c>
      <c r="E35" s="1"/>
      <c r="F35" s="1"/>
      <c r="H35" s="1"/>
    </row>
    <row r="36" spans="1:8" x14ac:dyDescent="0.25">
      <c r="A36" s="13" t="s">
        <v>20</v>
      </c>
      <c r="B36" s="6">
        <f>B33-B34</f>
        <v>-0.11063333875353711</v>
      </c>
    </row>
    <row r="37" spans="1:8" x14ac:dyDescent="0.25">
      <c r="A37" s="13" t="s">
        <v>21</v>
      </c>
      <c r="B37" s="6">
        <f>B33-B35</f>
        <v>-0.15430360695660944</v>
      </c>
    </row>
  </sheetData>
  <conditionalFormatting sqref="G22:G28">
    <cfRule type="cellIs" dxfId="146" priority="9" operator="lessThan">
      <formula>0</formula>
    </cfRule>
    <cfRule type="cellIs" dxfId="145" priority="10" operator="greaterThan">
      <formula>0</formula>
    </cfRule>
  </conditionalFormatting>
  <conditionalFormatting sqref="B36">
    <cfRule type="cellIs" dxfId="144" priority="7" operator="lessThan">
      <formula>0</formula>
    </cfRule>
    <cfRule type="cellIs" dxfId="143" priority="8" operator="greaterThan">
      <formula>0</formula>
    </cfRule>
  </conditionalFormatting>
  <conditionalFormatting sqref="I22:I28">
    <cfRule type="cellIs" dxfId="142" priority="5" operator="lessThan">
      <formula>0</formula>
    </cfRule>
    <cfRule type="cellIs" dxfId="141" priority="6" operator="greaterThan">
      <formula>0</formula>
    </cfRule>
  </conditionalFormatting>
  <conditionalFormatting sqref="B37">
    <cfRule type="cellIs" dxfId="140" priority="3" operator="lessThan">
      <formula>0</formula>
    </cfRule>
    <cfRule type="cellIs" dxfId="139" priority="4" operator="greaterThan">
      <formula>0</formula>
    </cfRule>
  </conditionalFormatting>
  <conditionalFormatting sqref="E22:E28">
    <cfRule type="cellIs" dxfId="138" priority="1" operator="lessThan">
      <formula>0</formula>
    </cfRule>
    <cfRule type="cellIs" dxfId="137" priority="2" operator="greaterThan">
      <formula>0</formula>
    </cfRule>
  </conditionalFormatting>
  <hyperlinks>
    <hyperlink ref="H1" location="OverallStats!A1" display="Return to Overall Stats" xr:uid="{01862E12-7E12-43E8-A788-3E6E019EAD2B}"/>
  </hyperlinks>
  <pageMargins left="0.25" right="0.25" top="0.75" bottom="0.75" header="0.3" footer="0.3"/>
  <pageSetup orientation="landscape"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AEFAE-49CD-4D20-B38F-F3AE880AFB74}">
  <dimension ref="A1:I39"/>
  <sheetViews>
    <sheetView workbookViewId="0"/>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28</v>
      </c>
      <c r="G1" s="7"/>
      <c r="H1" s="7" t="s">
        <v>11</v>
      </c>
    </row>
    <row r="2" spans="1:8" ht="15.75" thickTop="1" x14ac:dyDescent="0.25"/>
    <row r="20" spans="1:9" x14ac:dyDescent="0.25">
      <c r="A20" t="s">
        <v>1</v>
      </c>
      <c r="B20" s="4">
        <v>44169</v>
      </c>
    </row>
    <row r="21" spans="1:9" x14ac:dyDescent="0.25">
      <c r="A21" t="s">
        <v>0</v>
      </c>
      <c r="B21" t="s">
        <v>3</v>
      </c>
      <c r="C21" t="s">
        <v>2</v>
      </c>
      <c r="D21" t="s">
        <v>4</v>
      </c>
      <c r="E21" t="s">
        <v>5</v>
      </c>
      <c r="F21" t="s">
        <v>12</v>
      </c>
      <c r="G21" t="s">
        <v>6</v>
      </c>
      <c r="H21" t="s">
        <v>14</v>
      </c>
      <c r="I21" t="s">
        <v>15</v>
      </c>
    </row>
    <row r="22" spans="1:9" x14ac:dyDescent="0.25">
      <c r="A22" t="e" vm="44">
        <v>#VALUE!</v>
      </c>
      <c r="B22" t="str" cm="1">
        <f t="array" ref="B22">_FV(tbl_GoneToTheAnimals[[#This Row],[Company]],"Ticker symbol",TRUE)</f>
        <v>IDXX</v>
      </c>
      <c r="C22" s="9">
        <v>457.15</v>
      </c>
      <c r="D22" s="10" cm="1">
        <f t="array" ref="D22">_FV(tbl_GoneToTheAnimals[[#This Row],[Company]],"Price")</f>
        <v>352.35</v>
      </c>
      <c r="E22" s="1">
        <f>(tbl_GoneToTheAnimals[[#This Row],[Price]]-tbl_GoneToTheAnimals[[#This Row],[Start Price]])/tbl_GoneToTheAnimals[[#This Row],[Start Price]]</f>
        <v>-0.22924641802471826</v>
      </c>
      <c r="F22" s="2">
        <f t="shared" ref="F22:F30" si="0">$E$29</f>
        <v>4.0943263562118137E-2</v>
      </c>
      <c r="G22" s="2">
        <f>tbl_GoneToTheAnimals[[#This Row],[% Change]]-tbl_GoneToTheAnimals[[#This Row],[S&amp;P 500]]</f>
        <v>-0.27018968158683643</v>
      </c>
      <c r="H22" s="2">
        <f t="shared" ref="H22:H30" si="1">$E$30</f>
        <v>0.11704155547083493</v>
      </c>
      <c r="I22" s="2">
        <f>tbl_GoneToTheAnimals[[#This Row],[% Change]]-tbl_GoneToTheAnimals[[#This Row],[TSX 60]]</f>
        <v>-0.34628797349555318</v>
      </c>
    </row>
    <row r="23" spans="1:9" x14ac:dyDescent="0.25">
      <c r="A23" t="e" vm="45">
        <v>#VALUE!</v>
      </c>
      <c r="B23" t="str" cm="1">
        <f t="array" ref="B23">_FV(tbl_GoneToTheAnimals[[#This Row],[Company]],"Ticker symbol",TRUE)</f>
        <v>CHWY</v>
      </c>
      <c r="C23" s="9">
        <v>74.94</v>
      </c>
      <c r="D23" s="10" cm="1">
        <f t="array" ref="D23">_FV(tbl_GoneToTheAnimals[[#This Row],[Company]],"Price")</f>
        <v>39.79</v>
      </c>
      <c r="E23" s="1">
        <f>(tbl_GoneToTheAnimals[[#This Row],[Price]]-tbl_GoneToTheAnimals[[#This Row],[Start Price]])/tbl_GoneToTheAnimals[[#This Row],[Start Price]]</f>
        <v>-0.46904190018681613</v>
      </c>
      <c r="F23" s="2">
        <f t="shared" si="0"/>
        <v>4.0943263562118137E-2</v>
      </c>
      <c r="G23" s="2">
        <f>tbl_GoneToTheAnimals[[#This Row],[% Change]]-tbl_GoneToTheAnimals[[#This Row],[S&amp;P 500]]</f>
        <v>-0.50998516374893432</v>
      </c>
      <c r="H23" s="2">
        <f t="shared" si="1"/>
        <v>0.11704155547083493</v>
      </c>
      <c r="I23" s="2">
        <f>tbl_GoneToTheAnimals[[#This Row],[% Change]]-tbl_GoneToTheAnimals[[#This Row],[TSX 60]]</f>
        <v>-0.58608345565765108</v>
      </c>
    </row>
    <row r="24" spans="1:9" x14ac:dyDescent="0.25">
      <c r="A24" t="e" vm="46">
        <v>#VALUE!</v>
      </c>
      <c r="B24" t="str" cm="1">
        <f t="array" ref="B24">_FV(tbl_GoneToTheAnimals[[#This Row],[Company]],"Ticker symbol",TRUE)</f>
        <v>LMND</v>
      </c>
      <c r="C24" s="9">
        <v>85.04</v>
      </c>
      <c r="D24" s="10" cm="1">
        <f t="array" ref="D24">_FV(tbl_GoneToTheAnimals[[#This Row],[Company]],"Price")</f>
        <v>23.22</v>
      </c>
      <c r="E24" s="1">
        <f>(tbl_GoneToTheAnimals[[#This Row],[Price]]-tbl_GoneToTheAnimals[[#This Row],[Start Price]])/tbl_GoneToTheAnimals[[#This Row],[Start Price]]</f>
        <v>-0.7269520225776106</v>
      </c>
      <c r="F24" s="2">
        <f t="shared" si="0"/>
        <v>4.0943263562118137E-2</v>
      </c>
      <c r="G24" s="2">
        <f>tbl_GoneToTheAnimals[[#This Row],[% Change]]-tbl_GoneToTheAnimals[[#This Row],[S&amp;P 500]]</f>
        <v>-0.76789528613972879</v>
      </c>
      <c r="H24" s="2">
        <f t="shared" si="1"/>
        <v>0.11704155547083493</v>
      </c>
      <c r="I24" s="2">
        <f>tbl_GoneToTheAnimals[[#This Row],[% Change]]-tbl_GoneToTheAnimals[[#This Row],[TSX 60]]</f>
        <v>-0.84399357804844555</v>
      </c>
    </row>
    <row r="25" spans="1:9" x14ac:dyDescent="0.25">
      <c r="A25" t="e" vm="47">
        <v>#VALUE!</v>
      </c>
      <c r="B25" t="str" cm="1">
        <f t="array" ref="B25">_FV(tbl_GoneToTheAnimals[[#This Row],[Company]],"Ticker symbol",TRUE)</f>
        <v>FRPT</v>
      </c>
      <c r="C25" s="9">
        <v>134.97999999999999</v>
      </c>
      <c r="D25" s="10" cm="1">
        <f t="array" ref="D25">_FV(tbl_GoneToTheAnimals[[#This Row],[Company]],"Price")</f>
        <v>57.68</v>
      </c>
      <c r="E25" s="1">
        <f>(tbl_GoneToTheAnimals[[#This Row],[Price]]-tbl_GoneToTheAnimals[[#This Row],[Start Price]])/tbl_GoneToTheAnimals[[#This Row],[Start Price]]</f>
        <v>-0.57267743369388047</v>
      </c>
      <c r="F25" s="2">
        <f t="shared" si="0"/>
        <v>4.0943263562118137E-2</v>
      </c>
      <c r="G25" s="2">
        <f>tbl_GoneToTheAnimals[[#This Row],[% Change]]-tbl_GoneToTheAnimals[[#This Row],[S&amp;P 500]]</f>
        <v>-0.61362069725599855</v>
      </c>
      <c r="H25" s="2">
        <f t="shared" si="1"/>
        <v>0.11704155547083493</v>
      </c>
      <c r="I25" s="2">
        <f>tbl_GoneToTheAnimals[[#This Row],[% Change]]-tbl_GoneToTheAnimals[[#This Row],[TSX 60]]</f>
        <v>-0.68971898916471541</v>
      </c>
    </row>
    <row r="26" spans="1:9" x14ac:dyDescent="0.25">
      <c r="A26" t="e" vm="48">
        <v>#VALUE!</v>
      </c>
      <c r="B26" t="str" cm="1">
        <f t="array" ref="B26">_FV(tbl_GoneToTheAnimals[[#This Row],[Company]],"Ticker symbol",TRUE)</f>
        <v>CENT</v>
      </c>
      <c r="C26" s="9">
        <v>38.69</v>
      </c>
      <c r="D26" s="10" cm="1">
        <f t="array" ref="D26">_FV(tbl_GoneToTheAnimals[[#This Row],[Company]],"Price")</f>
        <v>40.020000000000003</v>
      </c>
      <c r="E26" s="1">
        <f>(tbl_GoneToTheAnimals[[#This Row],[Price]]-tbl_GoneToTheAnimals[[#This Row],[Start Price]])/tbl_GoneToTheAnimals[[#This Row],[Start Price]]</f>
        <v>3.4375807702248781E-2</v>
      </c>
      <c r="F26" s="2">
        <f t="shared" si="0"/>
        <v>4.0943263562118137E-2</v>
      </c>
      <c r="G26" s="2">
        <f>tbl_GoneToTheAnimals[[#This Row],[% Change]]-tbl_GoneToTheAnimals[[#This Row],[S&amp;P 500]]</f>
        <v>-6.5674558598693561E-3</v>
      </c>
      <c r="H26" s="2">
        <f t="shared" si="1"/>
        <v>0.11704155547083493</v>
      </c>
      <c r="I26" s="2">
        <f>tbl_GoneToTheAnimals[[#This Row],[% Change]]-tbl_GoneToTheAnimals[[#This Row],[TSX 60]]</f>
        <v>-8.2665747768586151E-2</v>
      </c>
    </row>
    <row r="27" spans="1:9" x14ac:dyDescent="0.25">
      <c r="A27" t="e" vm="49">
        <v>#VALUE!</v>
      </c>
      <c r="B27" t="str" cm="1">
        <f t="array" ref="B27">_FV(tbl_GoneToTheAnimals[[#This Row],[Company]],"Ticker symbol",TRUE)</f>
        <v>TRUP</v>
      </c>
      <c r="C27" s="9">
        <v>95.9</v>
      </c>
      <c r="D27" s="10" cm="1">
        <f t="array" ref="D27">_FV(tbl_GoneToTheAnimals[[#This Row],[Company]],"Price")</f>
        <v>50.43</v>
      </c>
      <c r="E27" s="1">
        <f>(tbl_GoneToTheAnimals[[#This Row],[Price]]-tbl_GoneToTheAnimals[[#This Row],[Start Price]])/tbl_GoneToTheAnimals[[#This Row],[Start Price]]</f>
        <v>-0.47413972888425449</v>
      </c>
      <c r="F27" s="2">
        <f t="shared" si="0"/>
        <v>4.0943263562118137E-2</v>
      </c>
      <c r="G27" s="2">
        <f>tbl_GoneToTheAnimals[[#This Row],[% Change]]-tbl_GoneToTheAnimals[[#This Row],[S&amp;P 500]]</f>
        <v>-0.51508299244637268</v>
      </c>
      <c r="H27" s="2">
        <f t="shared" si="1"/>
        <v>0.11704155547083493</v>
      </c>
      <c r="I27" s="2">
        <f>tbl_GoneToTheAnimals[[#This Row],[% Change]]-tbl_GoneToTheAnimals[[#This Row],[TSX 60]]</f>
        <v>-0.59118128435508943</v>
      </c>
    </row>
    <row r="28" spans="1:9" x14ac:dyDescent="0.25">
      <c r="A28" t="e" vm="50">
        <v>#VALUE!</v>
      </c>
      <c r="B28" t="str" cm="1">
        <f t="array" ref="B28">_FV(tbl_GoneToTheAnimals[[#This Row],[Company]],"Ticker symbol",TRUE)</f>
        <v>BARK</v>
      </c>
      <c r="C28" s="9">
        <v>14.05</v>
      </c>
      <c r="D28" s="10" cm="1">
        <f t="array" ref="D28">_FV(tbl_GoneToTheAnimals[[#This Row],[Company]],"Price")</f>
        <v>1.75</v>
      </c>
      <c r="E28" s="1">
        <f>(tbl_GoneToTheAnimals[[#This Row],[Price]]-tbl_GoneToTheAnimals[[#This Row],[Start Price]])/tbl_GoneToTheAnimals[[#This Row],[Start Price]]</f>
        <v>-0.8754448398576512</v>
      </c>
      <c r="F28" s="2">
        <f t="shared" si="0"/>
        <v>4.0943263562118137E-2</v>
      </c>
      <c r="G28" s="2">
        <f>tbl_GoneToTheAnimals[[#This Row],[% Change]]-tbl_GoneToTheAnimals[[#This Row],[S&amp;P 500]]</f>
        <v>-0.9163881034197694</v>
      </c>
      <c r="H28" s="2">
        <f t="shared" si="1"/>
        <v>0.11704155547083493</v>
      </c>
      <c r="I28" s="2">
        <f>tbl_GoneToTheAnimals[[#This Row],[% Change]]-tbl_GoneToTheAnimals[[#This Row],[TSX 60]]</f>
        <v>-0.99248639532848615</v>
      </c>
    </row>
    <row r="29" spans="1:9" x14ac:dyDescent="0.25">
      <c r="A29" t="e" vm="29">
        <v>#VALUE!</v>
      </c>
      <c r="B29" t="str" cm="1">
        <f t="array" ref="B29">_FV(tbl_GoneToTheAnimals[[#This Row],[Company]],"Ticker symbol",TRUE)</f>
        <v>SPY</v>
      </c>
      <c r="C29" s="9">
        <v>369.78</v>
      </c>
      <c r="D29" s="10" cm="1">
        <f t="array" ref="D29">_FV(tbl_GoneToTheAnimals[[#This Row],[Company]],"Price")</f>
        <v>384.92</v>
      </c>
      <c r="E29" s="1">
        <f>(tbl_GoneToTheAnimals[[#This Row],[Price]]-tbl_GoneToTheAnimals[[#This Row],[Start Price]])/tbl_GoneToTheAnimals[[#This Row],[Start Price]]</f>
        <v>4.0943263562118137E-2</v>
      </c>
      <c r="F29" s="2">
        <f t="shared" si="0"/>
        <v>4.0943263562118137E-2</v>
      </c>
      <c r="G29" s="2">
        <f>tbl_GoneToTheAnimals[[#This Row],[% Change]]-tbl_GoneToTheAnimals[[#This Row],[S&amp;P 500]]</f>
        <v>0</v>
      </c>
      <c r="H29" s="2">
        <f t="shared" si="1"/>
        <v>0.11704155547083493</v>
      </c>
      <c r="I29" s="2">
        <f>tbl_GoneToTheAnimals[[#This Row],[% Change]]-tbl_GoneToTheAnimals[[#This Row],[TSX 60]]</f>
        <v>-7.6098291908716795E-2</v>
      </c>
    </row>
    <row r="30" spans="1:9" x14ac:dyDescent="0.25">
      <c r="A30" t="e" vm="30">
        <v>#VALUE!</v>
      </c>
      <c r="B30" t="str" cm="1">
        <f t="array" ref="B30">_FV(tbl_GoneToTheAnimals[[#This Row],[Company]],"Ticker symbol",TRUE)</f>
        <v>XIU</v>
      </c>
      <c r="C30" s="9">
        <v>26.23</v>
      </c>
      <c r="D30" s="10" cm="1">
        <f t="array" ref="D30">_FV(tbl_GoneToTheAnimals[[#This Row],[Company]],"Price")</f>
        <v>29.3</v>
      </c>
      <c r="E30" s="1">
        <f>(tbl_GoneToTheAnimals[[#This Row],[Price]]-tbl_GoneToTheAnimals[[#This Row],[Start Price]])/tbl_GoneToTheAnimals[[#This Row],[Start Price]]</f>
        <v>0.11704155547083493</v>
      </c>
      <c r="F30" s="2">
        <f t="shared" si="0"/>
        <v>4.0943263562118137E-2</v>
      </c>
      <c r="G30" s="2">
        <f>tbl_GoneToTheAnimals[[#This Row],[% Change]]-tbl_GoneToTheAnimals[[#This Row],[S&amp;P 500]]</f>
        <v>7.6098291908716795E-2</v>
      </c>
      <c r="H30" s="2">
        <f t="shared" si="1"/>
        <v>0.11704155547083493</v>
      </c>
      <c r="I30" s="2">
        <f>tbl_GoneToTheAnimals[[#This Row],[% Change]]-tbl_GoneToTheAnimals[[#This Row],[TSX 60]]</f>
        <v>0</v>
      </c>
    </row>
    <row r="32" spans="1:9" x14ac:dyDescent="0.25">
      <c r="A32" t="s">
        <v>31</v>
      </c>
      <c r="B32" t="str">
        <f>IFERROR(_xlfn.XLOOKUP(C32,E22:E26,B22:B26),"Check")</f>
        <v>CENT</v>
      </c>
      <c r="C32" s="2">
        <f>MAX(E22:E28)</f>
        <v>3.4375807702248781E-2</v>
      </c>
    </row>
    <row r="33" spans="1:8" x14ac:dyDescent="0.25">
      <c r="A33" t="s">
        <v>30</v>
      </c>
      <c r="B33" t="str">
        <f>IFERROR(_xlfn.XLOOKUP(C33,E22:E28,B22:B28),"Check")</f>
        <v>BARK</v>
      </c>
      <c r="C33" s="2">
        <f>MIN(E22:E28)</f>
        <v>-0.8754448398576512</v>
      </c>
    </row>
    <row r="35" spans="1:8" x14ac:dyDescent="0.25">
      <c r="A35" t="s">
        <v>17</v>
      </c>
      <c r="B35" s="14">
        <f>AVERAGE(tbl_GoneToTheAnimals[% Change])</f>
        <v>-0.35057130183219215</v>
      </c>
    </row>
    <row r="36" spans="1:8" x14ac:dyDescent="0.25">
      <c r="A36" t="s">
        <v>18</v>
      </c>
      <c r="B36" s="1">
        <f>AVERAGE(tbl_GoneToTheAnimals[S&amp;P 500])</f>
        <v>4.0943263562118137E-2</v>
      </c>
      <c r="E36" s="1"/>
      <c r="F36" s="1"/>
      <c r="H36" s="1"/>
    </row>
    <row r="37" spans="1:8" x14ac:dyDescent="0.25">
      <c r="A37" t="s">
        <v>19</v>
      </c>
      <c r="B37" s="1">
        <f>AVERAGE(tbl_GoneToTheAnimals[TSX 60])</f>
        <v>0.11704155547083493</v>
      </c>
      <c r="E37" s="1"/>
      <c r="F37" s="1"/>
      <c r="H37" s="1"/>
    </row>
    <row r="38" spans="1:8" x14ac:dyDescent="0.25">
      <c r="A38" s="13" t="s">
        <v>20</v>
      </c>
      <c r="B38" s="6">
        <f>B35-B36</f>
        <v>-0.39151456539431029</v>
      </c>
    </row>
    <row r="39" spans="1:8" x14ac:dyDescent="0.25">
      <c r="A39" s="13" t="s">
        <v>21</v>
      </c>
      <c r="B39" s="6">
        <f>B35-B37</f>
        <v>-0.4676128573030271</v>
      </c>
    </row>
  </sheetData>
  <conditionalFormatting sqref="G22:G30 I22:I30">
    <cfRule type="cellIs" dxfId="129" priority="7" operator="lessThan">
      <formula>0</formula>
    </cfRule>
    <cfRule type="cellIs" dxfId="128" priority="8" operator="greaterThan">
      <formula>0</formula>
    </cfRule>
  </conditionalFormatting>
  <conditionalFormatting sqref="B38">
    <cfRule type="cellIs" dxfId="127" priority="5" operator="lessThan">
      <formula>0</formula>
    </cfRule>
    <cfRule type="cellIs" dxfId="126" priority="6" operator="greaterThan">
      <formula>0</formula>
    </cfRule>
  </conditionalFormatting>
  <conditionalFormatting sqref="B39">
    <cfRule type="cellIs" dxfId="125" priority="1" operator="lessThan">
      <formula>0</formula>
    </cfRule>
    <cfRule type="cellIs" dxfId="124" priority="2" operator="greaterThan">
      <formula>0</formula>
    </cfRule>
  </conditionalFormatting>
  <hyperlinks>
    <hyperlink ref="H1" location="OverallStats!A1" display="Return to Overall Stats" xr:uid="{8CABC82C-BE01-46B3-9BC3-08AC9048E381}"/>
  </hyperlinks>
  <pageMargins left="0.7" right="0.7" top="0.75" bottom="0.75" header="0.3" footer="0.3"/>
  <pageSetup orientation="landscape" horizontalDpi="4294967293"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E5BB5-31BA-4C4C-A6E0-CB3B31631432}">
  <dimension ref="A1:I40"/>
  <sheetViews>
    <sheetView workbookViewId="0">
      <selection activeCell="C29" sqref="C29"/>
    </sheetView>
  </sheetViews>
  <sheetFormatPr defaultRowHeight="15" x14ac:dyDescent="0.25"/>
  <cols>
    <col min="1" max="1" width="41.28515625" bestFit="1" customWidth="1"/>
    <col min="2" max="2" width="13.28515625" bestFit="1" customWidth="1"/>
    <col min="3" max="3" width="10" bestFit="1" customWidth="1"/>
    <col min="4" max="4" width="8.140625" bestFit="1" customWidth="1"/>
    <col min="5" max="5" width="9.5703125" bestFit="1" customWidth="1"/>
    <col min="6" max="6" width="8.140625" bestFit="1" customWidth="1"/>
    <col min="7" max="7" width="9.85546875" bestFit="1" customWidth="1"/>
  </cols>
  <sheetData>
    <row r="1" spans="1:8" ht="20.25" thickBot="1" x14ac:dyDescent="0.35">
      <c r="A1" s="5" t="s">
        <v>25</v>
      </c>
      <c r="G1" s="7"/>
      <c r="H1" s="7" t="s">
        <v>11</v>
      </c>
    </row>
    <row r="2" spans="1:8" ht="15.75" thickTop="1" x14ac:dyDescent="0.25"/>
    <row r="20" spans="1:9" x14ac:dyDescent="0.25">
      <c r="A20" t="s">
        <v>1</v>
      </c>
      <c r="B20" s="4">
        <v>44175</v>
      </c>
    </row>
    <row r="21" spans="1:9" x14ac:dyDescent="0.25">
      <c r="A21" t="s">
        <v>0</v>
      </c>
      <c r="B21" t="s">
        <v>3</v>
      </c>
      <c r="C21" t="s">
        <v>2</v>
      </c>
      <c r="D21" t="s">
        <v>4</v>
      </c>
      <c r="E21" t="s">
        <v>5</v>
      </c>
      <c r="F21" t="s">
        <v>12</v>
      </c>
      <c r="G21" t="s">
        <v>6</v>
      </c>
      <c r="H21" t="s">
        <v>14</v>
      </c>
      <c r="I21" t="s">
        <v>15</v>
      </c>
    </row>
    <row r="22" spans="1:9" x14ac:dyDescent="0.25">
      <c r="A22" t="e" vm="51">
        <v>#VALUE!</v>
      </c>
      <c r="B22" t="str" cm="1">
        <f t="array" ref="B22">_FV(tbl_CdnTechs[[#This Row],[Company]],"Ticker symbol",TRUE)</f>
        <v>NVEI</v>
      </c>
      <c r="C22" s="9">
        <v>63.43</v>
      </c>
      <c r="D22" s="10" cm="1">
        <f t="array" ref="D22">_FV(tbl_CdnTechs[[#This Row],[Company]],"Price")</f>
        <v>39.799999999999997</v>
      </c>
      <c r="E22" s="1">
        <f>(tbl_CdnTechs[[#This Row],[Price]]-tbl_CdnTechs[[#This Row],[Start Price]])/tbl_CdnTechs[[#This Row],[Start Price]]</f>
        <v>-0.37253665457985186</v>
      </c>
      <c r="F22" s="2">
        <f>$E$30</f>
        <v>4.9600523545932966E-2</v>
      </c>
      <c r="G22" s="2">
        <f>tbl_CdnTechs[[#This Row],[% Change]]-tbl_CdnTechs[[#This Row],[S&amp;P 500]]</f>
        <v>-0.42213717812578483</v>
      </c>
      <c r="H22" s="2">
        <f>$E$31</f>
        <v>0.10900832702498103</v>
      </c>
      <c r="I22" s="2">
        <f>tbl_CdnTechs[[#This Row],[% Change]]-tbl_CdnTechs[[#This Row],[TSX 60]]</f>
        <v>-0.48154498160483289</v>
      </c>
    </row>
    <row r="23" spans="1:9" x14ac:dyDescent="0.25">
      <c r="A23" t="e" vm="52">
        <v>#VALUE!</v>
      </c>
      <c r="B23" t="str" cm="1">
        <f t="array" ref="B23">_FV(tbl_CdnTechs[[#This Row],[Company]],"Ticker symbol",TRUE)</f>
        <v>DCBO</v>
      </c>
      <c r="C23" s="9">
        <v>62.53</v>
      </c>
      <c r="D23" s="10" cm="1">
        <f t="array" ref="D23">_FV(tbl_CdnTechs[[#This Row],[Company]],"Price")</f>
        <v>40.35</v>
      </c>
      <c r="E23" s="1">
        <f>(tbl_CdnTechs[[#This Row],[Price]]-tbl_CdnTechs[[#This Row],[Start Price]])/tbl_CdnTechs[[#This Row],[Start Price]]</f>
        <v>-0.35470973932512395</v>
      </c>
      <c r="F23" s="2">
        <f>$E$30</f>
        <v>4.9600523545932966E-2</v>
      </c>
      <c r="G23" s="2">
        <f>tbl_CdnTechs[[#This Row],[% Change]]-tbl_CdnTechs[[#This Row],[S&amp;P 500]]</f>
        <v>-0.40431026287105692</v>
      </c>
      <c r="H23" s="2">
        <f>$E$31</f>
        <v>0.10900832702498103</v>
      </c>
      <c r="I23" s="2">
        <f>tbl_CdnTechs[[#This Row],[% Change]]-tbl_CdnTechs[[#This Row],[TSX 60]]</f>
        <v>-0.46371806635010498</v>
      </c>
    </row>
    <row r="24" spans="1:9" x14ac:dyDescent="0.25">
      <c r="A24" t="e" vm="53">
        <v>#VALUE!</v>
      </c>
      <c r="B24" t="str" cm="1">
        <f t="array" ref="B24">_FV(tbl_CdnTechs[[#This Row],[Company]],"Ticker symbol",TRUE)</f>
        <v>DND</v>
      </c>
      <c r="C24" s="9">
        <v>42.94</v>
      </c>
      <c r="D24" s="10" cm="1">
        <f t="array" ref="D24">_FV(tbl_CdnTechs[[#This Row],[Company]],"Price")</f>
        <v>16.09</v>
      </c>
      <c r="E24" s="1">
        <f>(tbl_CdnTechs[[#This Row],[Price]]-tbl_CdnTechs[[#This Row],[Start Price]])/tbl_CdnTechs[[#This Row],[Start Price]]</f>
        <v>-0.62529110386585929</v>
      </c>
      <c r="F24" s="2">
        <f>$E$30</f>
        <v>4.9600523545932966E-2</v>
      </c>
      <c r="G24" s="2">
        <f>tbl_CdnTechs[[#This Row],[% Change]]-tbl_CdnTechs[[#This Row],[S&amp;P 500]]</f>
        <v>-0.67489162741179221</v>
      </c>
      <c r="H24" s="2">
        <f>$E$31</f>
        <v>0.10900832702498103</v>
      </c>
      <c r="I24" s="2">
        <f>tbl_CdnTechs[[#This Row],[% Change]]-tbl_CdnTechs[[#This Row],[TSX 60]]</f>
        <v>-0.73429943089084038</v>
      </c>
    </row>
    <row r="25" spans="1:9" x14ac:dyDescent="0.25">
      <c r="A25" t="e" vm="54">
        <v>#VALUE!</v>
      </c>
      <c r="B25" t="str" cm="1">
        <f t="array" ref="B25">_FV(tbl_CdnTechs[[#This Row],[Company]],"Ticker symbol",TRUE)</f>
        <v>LSPD</v>
      </c>
      <c r="C25" s="9">
        <v>74.349999999999994</v>
      </c>
      <c r="D25" s="10" cm="1">
        <f t="array" ref="D25">_FV(tbl_CdnTechs[[#This Row],[Company]],"Price")</f>
        <v>25.23</v>
      </c>
      <c r="E25" s="1">
        <f>(tbl_CdnTechs[[#This Row],[Price]]-tbl_CdnTechs[[#This Row],[Start Price]])/tbl_CdnTechs[[#This Row],[Start Price]]</f>
        <v>-0.660659045057162</v>
      </c>
      <c r="F25" s="2">
        <f>$E$30</f>
        <v>4.9600523545932966E-2</v>
      </c>
      <c r="G25" s="2">
        <f>tbl_CdnTechs[[#This Row],[% Change]]-tbl_CdnTechs[[#This Row],[S&amp;P 500]]</f>
        <v>-0.71025956860309492</v>
      </c>
      <c r="H25" s="2">
        <f>$E$31</f>
        <v>0.10900832702498103</v>
      </c>
      <c r="I25" s="2">
        <f>tbl_CdnTechs[[#This Row],[% Change]]-tbl_CdnTechs[[#This Row],[TSX 60]]</f>
        <v>-0.76966737208214298</v>
      </c>
    </row>
    <row r="26" spans="1:9" x14ac:dyDescent="0.25">
      <c r="A26" t="e" vm="55">
        <v>#VALUE!</v>
      </c>
      <c r="B26" t="str" cm="1">
        <f t="array" ref="B26">_FV(tbl_CdnTechs[[#This Row],[Company]],"Ticker symbol",TRUE)</f>
        <v>ENGH</v>
      </c>
      <c r="C26" s="9">
        <v>63.83</v>
      </c>
      <c r="D26" s="10" cm="1">
        <f t="array" ref="D26">_FV(tbl_CdnTechs[[#This Row],[Company]],"Price")</f>
        <v>29.56</v>
      </c>
      <c r="E26" s="1">
        <f>(tbl_CdnTechs[[#This Row],[Price]]-tbl_CdnTechs[[#This Row],[Start Price]])/tbl_CdnTechs[[#This Row],[Start Price]]</f>
        <v>-0.53689487701707661</v>
      </c>
      <c r="F26" s="2">
        <f t="shared" ref="F26:F27" si="0">$E$30</f>
        <v>4.9600523545932966E-2</v>
      </c>
      <c r="G26" s="2">
        <f>tbl_CdnTechs[[#This Row],[% Change]]-tbl_CdnTechs[[#This Row],[S&amp;P 500]]</f>
        <v>-0.58649540056300953</v>
      </c>
      <c r="H26" s="2">
        <f t="shared" ref="H26:H27" si="1">$E$31</f>
        <v>0.10900832702498103</v>
      </c>
      <c r="I26" s="2">
        <f>tbl_CdnTechs[[#This Row],[% Change]]-tbl_CdnTechs[[#This Row],[TSX 60]]</f>
        <v>-0.64590320404205759</v>
      </c>
    </row>
    <row r="27" spans="1:9" x14ac:dyDescent="0.25">
      <c r="A27" t="e" vm="56">
        <v>#VALUE!</v>
      </c>
      <c r="B27" t="str" cm="1">
        <f t="array" ref="B27">_FV(tbl_CdnTechs[[#This Row],[Company]],"Ticker symbol",TRUE)</f>
        <v>KXS</v>
      </c>
      <c r="C27" s="9">
        <v>175</v>
      </c>
      <c r="D27" s="10" cm="1">
        <f t="array" ref="D27">_FV(tbl_CdnTechs[[#This Row],[Company]],"Price")</f>
        <v>142.05000000000001</v>
      </c>
      <c r="E27" s="1">
        <f>(tbl_CdnTechs[[#This Row],[Price]]-tbl_CdnTechs[[#This Row],[Start Price]])/tbl_CdnTechs[[#This Row],[Start Price]]</f>
        <v>-0.18828571428571422</v>
      </c>
      <c r="F27" s="2">
        <f t="shared" si="0"/>
        <v>4.9600523545932966E-2</v>
      </c>
      <c r="G27" s="2">
        <f>tbl_CdnTechs[[#This Row],[% Change]]-tbl_CdnTechs[[#This Row],[S&amp;P 500]]</f>
        <v>-0.2378862378316472</v>
      </c>
      <c r="H27" s="2">
        <f t="shared" si="1"/>
        <v>0.10900832702498103</v>
      </c>
      <c r="I27" s="2">
        <f>tbl_CdnTechs[[#This Row],[% Change]]-tbl_CdnTechs[[#This Row],[TSX 60]]</f>
        <v>-0.29729404131069526</v>
      </c>
    </row>
    <row r="28" spans="1:9" x14ac:dyDescent="0.25">
      <c r="A28" t="e" vm="57">
        <v>#VALUE!</v>
      </c>
      <c r="B28" t="str" cm="1">
        <f t="array" ref="B28">_FV(tbl_CdnTechs[[#This Row],[Company]],"Ticker symbol",TRUE)</f>
        <v>CSU</v>
      </c>
      <c r="C28" s="9">
        <v>1652.9</v>
      </c>
      <c r="D28" s="10" cm="1">
        <f t="array" ref="D28">_FV(tbl_CdnTechs[[#This Row],[Company]],"Price")</f>
        <v>1949.41</v>
      </c>
      <c r="E28" s="1">
        <f>(tbl_CdnTechs[[#This Row],[Price]]-tbl_CdnTechs[[#This Row],[Start Price]])/tbl_CdnTechs[[#This Row],[Start Price]]</f>
        <v>0.17938774275515759</v>
      </c>
      <c r="F28" s="2">
        <f>$E$30</f>
        <v>4.9600523545932966E-2</v>
      </c>
      <c r="G28" s="2">
        <f>tbl_CdnTechs[[#This Row],[% Change]]-tbl_CdnTechs[[#This Row],[S&amp;P 500]]</f>
        <v>0.12978721920922462</v>
      </c>
      <c r="H28" s="2">
        <f>$E$31</f>
        <v>0.10900832702498103</v>
      </c>
      <c r="I28" s="2">
        <f>tbl_CdnTechs[[#This Row],[% Change]]-tbl_CdnTechs[[#This Row],[TSX 60]]</f>
        <v>7.0379415730176559E-2</v>
      </c>
    </row>
    <row r="29" spans="1:9" x14ac:dyDescent="0.25">
      <c r="A29" t="e" vm="43">
        <v>#VALUE!</v>
      </c>
      <c r="B29" t="str" cm="1">
        <f t="array" ref="B29">_FV(tbl_CdnTechs[[#This Row],[Company]],"Ticker symbol",TRUE)</f>
        <v>SHOP</v>
      </c>
      <c r="C29" s="9">
        <v>135.99</v>
      </c>
      <c r="D29" s="10" cm="1">
        <f t="array" ref="D29">_FV(tbl_CdnTechs[[#This Row],[Company]],"Price")</f>
        <v>40.630000000000003</v>
      </c>
      <c r="E29" s="1">
        <f>(tbl_CdnTechs[[#This Row],[Price]]-tbl_CdnTechs[[#This Row],[Start Price]])/tbl_CdnTechs[[#This Row],[Start Price]]</f>
        <v>-0.70122803147290247</v>
      </c>
      <c r="F29" s="2">
        <f>$E$30</f>
        <v>4.9600523545932966E-2</v>
      </c>
      <c r="G29" s="2">
        <f>tbl_CdnTechs[[#This Row],[% Change]]-tbl_CdnTechs[[#This Row],[S&amp;P 500]]</f>
        <v>-0.75082855501883539</v>
      </c>
      <c r="H29" s="2">
        <f>$E$31</f>
        <v>0.10900832702498103</v>
      </c>
      <c r="I29" s="2">
        <f>tbl_CdnTechs[[#This Row],[% Change]]-tbl_CdnTechs[[#This Row],[TSX 60]]</f>
        <v>-0.81023635849788356</v>
      </c>
    </row>
    <row r="30" spans="1:9" x14ac:dyDescent="0.25">
      <c r="A30" t="e" vm="29">
        <v>#VALUE!</v>
      </c>
      <c r="B30" t="str" cm="1">
        <f t="array" ref="B30">_FV(tbl_CdnTechs[[#This Row],[Company]],"Ticker symbol",TRUE)</f>
        <v>SPY</v>
      </c>
      <c r="C30" s="9">
        <v>366.73</v>
      </c>
      <c r="D30" s="10" cm="1">
        <f t="array" ref="D30">_FV(tbl_CdnTechs[[#This Row],[Company]],"Price")</f>
        <v>384.92</v>
      </c>
      <c r="E30" s="1">
        <f>(tbl_CdnTechs[[#This Row],[Price]]-tbl_CdnTechs[[#This Row],[Start Price]])/tbl_CdnTechs[[#This Row],[Start Price]]</f>
        <v>4.9600523545932966E-2</v>
      </c>
      <c r="F30" s="2">
        <f>$E$30</f>
        <v>4.9600523545932966E-2</v>
      </c>
      <c r="G30" s="2">
        <f>tbl_CdnTechs[[#This Row],[% Change]]-tbl_CdnTechs[[#This Row],[S&amp;P 500]]</f>
        <v>0</v>
      </c>
      <c r="H30" s="2">
        <f>$E$31</f>
        <v>0.10900832702498103</v>
      </c>
      <c r="I30" s="2">
        <f>tbl_CdnTechs[[#This Row],[% Change]]-tbl_CdnTechs[[#This Row],[TSX 60]]</f>
        <v>-5.9407803479048067E-2</v>
      </c>
    </row>
    <row r="31" spans="1:9" x14ac:dyDescent="0.25">
      <c r="A31" t="e" vm="30">
        <v>#VALUE!</v>
      </c>
      <c r="B31" t="str" cm="1">
        <f t="array" ref="B31">_FV(tbl_CdnTechs[[#This Row],[Company]],"Ticker symbol",TRUE)</f>
        <v>XIU</v>
      </c>
      <c r="C31" s="9">
        <v>26.42</v>
      </c>
      <c r="D31" s="10" cm="1">
        <f t="array" ref="D31">_FV(tbl_CdnTechs[[#This Row],[Company]],"Price")</f>
        <v>29.3</v>
      </c>
      <c r="E31" s="1">
        <f>(tbl_CdnTechs[[#This Row],[Price]]-tbl_CdnTechs[[#This Row],[Start Price]])/tbl_CdnTechs[[#This Row],[Start Price]]</f>
        <v>0.10900832702498103</v>
      </c>
      <c r="F31" s="2">
        <f>$E$30</f>
        <v>4.9600523545932966E-2</v>
      </c>
      <c r="G31" s="2">
        <f>tbl_CdnTechs[[#This Row],[% Change]]-tbl_CdnTechs[[#This Row],[S&amp;P 500]]</f>
        <v>5.9407803479048067E-2</v>
      </c>
      <c r="H31" s="2">
        <f>$E$31</f>
        <v>0.10900832702498103</v>
      </c>
      <c r="I31" s="2">
        <f>tbl_CdnTechs[[#This Row],[% Change]]-tbl_CdnTechs[[#This Row],[TSX 60]]</f>
        <v>0</v>
      </c>
    </row>
    <row r="33" spans="1:8" x14ac:dyDescent="0.25">
      <c r="A33" t="s">
        <v>31</v>
      </c>
      <c r="B33" t="str">
        <f>IFERROR(_xlfn.XLOOKUP(C33,E22:E29,B22:B29),"Check")</f>
        <v>CSU</v>
      </c>
      <c r="C33" s="2">
        <f>MAX(E24:E29)</f>
        <v>0.17938774275515759</v>
      </c>
    </row>
    <row r="34" spans="1:8" x14ac:dyDescent="0.25">
      <c r="A34" t="s">
        <v>30</v>
      </c>
      <c r="B34" t="str">
        <f>IFERROR(_xlfn.XLOOKUP(C34,E24:E29,B24:B29),"Check")</f>
        <v>SHOP</v>
      </c>
      <c r="C34" s="2">
        <f>MIN(E24:E29)</f>
        <v>-0.70122803147290247</v>
      </c>
    </row>
    <row r="36" spans="1:8" x14ac:dyDescent="0.25">
      <c r="A36" t="s">
        <v>17</v>
      </c>
      <c r="B36" s="14">
        <f>AVERAGE(tbl_CdnTechs[% Change])</f>
        <v>-0.31016085722776182</v>
      </c>
    </row>
    <row r="37" spans="1:8" x14ac:dyDescent="0.25">
      <c r="A37" t="s">
        <v>18</v>
      </c>
      <c r="B37" s="1">
        <f>AVERAGE(tbl_CdnTechs[S&amp;P 500])</f>
        <v>4.9600523545932966E-2</v>
      </c>
      <c r="E37" s="1"/>
      <c r="F37" s="1"/>
      <c r="H37" s="1"/>
    </row>
    <row r="38" spans="1:8" x14ac:dyDescent="0.25">
      <c r="A38" s="13" t="s">
        <v>20</v>
      </c>
      <c r="B38" s="6">
        <f>B36-B37</f>
        <v>-0.35976138077369479</v>
      </c>
      <c r="E38" s="1"/>
      <c r="F38" s="1"/>
      <c r="H38" s="1"/>
    </row>
    <row r="39" spans="1:8" x14ac:dyDescent="0.25">
      <c r="A39" t="s">
        <v>19</v>
      </c>
      <c r="B39" s="1">
        <f>AVERAGE(tbl_CdnTechs[TSX 60])</f>
        <v>0.10900832702498106</v>
      </c>
      <c r="E39" s="1"/>
      <c r="F39" s="1"/>
      <c r="H39" s="1"/>
    </row>
    <row r="40" spans="1:8" x14ac:dyDescent="0.25">
      <c r="A40" s="13" t="s">
        <v>21</v>
      </c>
      <c r="B40" s="6">
        <f>B36-B39</f>
        <v>-0.41916918425274285</v>
      </c>
    </row>
  </sheetData>
  <conditionalFormatting sqref="G22:G31 I22:I31">
    <cfRule type="cellIs" dxfId="116" priority="7" operator="lessThan">
      <formula>0</formula>
    </cfRule>
    <cfRule type="cellIs" dxfId="115" priority="8" operator="greaterThan">
      <formula>0</formula>
    </cfRule>
  </conditionalFormatting>
  <conditionalFormatting sqref="B38">
    <cfRule type="cellIs" dxfId="114" priority="5" operator="lessThan">
      <formula>0</formula>
    </cfRule>
    <cfRule type="cellIs" dxfId="113" priority="6" operator="greaterThan">
      <formula>0</formula>
    </cfRule>
  </conditionalFormatting>
  <conditionalFormatting sqref="B40">
    <cfRule type="cellIs" dxfId="112" priority="1" operator="lessThan">
      <formula>0</formula>
    </cfRule>
    <cfRule type="cellIs" dxfId="111" priority="2" operator="greaterThan">
      <formula>0</formula>
    </cfRule>
  </conditionalFormatting>
  <hyperlinks>
    <hyperlink ref="H1" location="OverallStats!A1" display="Return to Overall Stats" xr:uid="{947D5CF8-1874-40B3-B0E3-31D20136A6AC}"/>
  </hyperlinks>
  <pageMargins left="0.25" right="0.25" top="0.75" bottom="0.75" header="0.3" footer="0.3"/>
  <pageSetup orientation="landscape"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61B4C-3915-4D9E-8E58-091CA82E5B7B}">
  <dimension ref="A1:I37"/>
  <sheetViews>
    <sheetView workbookViewId="0">
      <selection activeCell="A2" sqref="A2"/>
    </sheetView>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45</v>
      </c>
      <c r="G1" s="7"/>
      <c r="H1" s="7" t="s">
        <v>11</v>
      </c>
    </row>
    <row r="2" spans="1:8" ht="15.75" thickTop="1" x14ac:dyDescent="0.25"/>
    <row r="20" spans="1:9" x14ac:dyDescent="0.25">
      <c r="A20" t="s">
        <v>1</v>
      </c>
      <c r="B20" s="4">
        <v>44208</v>
      </c>
    </row>
    <row r="21" spans="1:9" x14ac:dyDescent="0.25">
      <c r="A21" t="s">
        <v>0</v>
      </c>
      <c r="B21" t="s">
        <v>3</v>
      </c>
      <c r="C21" t="s">
        <v>2</v>
      </c>
      <c r="D21" t="s">
        <v>4</v>
      </c>
      <c r="E21" t="s">
        <v>5</v>
      </c>
      <c r="F21" t="s">
        <v>12</v>
      </c>
      <c r="G21" t="s">
        <v>6</v>
      </c>
      <c r="H21" t="s">
        <v>14</v>
      </c>
      <c r="I21" t="s">
        <v>15</v>
      </c>
    </row>
    <row r="22" spans="1:9" x14ac:dyDescent="0.25">
      <c r="A22" t="e" vm="58">
        <v>#VALUE!</v>
      </c>
      <c r="B22" t="str" cm="1">
        <f t="array" ref="B22">_FV(tbl_GreenRevolution[[#This Row],[Company]],"Ticker symbol",TRUE)</f>
        <v>RUN</v>
      </c>
      <c r="C22" s="9">
        <v>93.44</v>
      </c>
      <c r="D22" s="10" cm="1">
        <f t="array" ref="D22">_FV(tbl_GreenRevolution[[#This Row],[Company]],"Price")</f>
        <v>21.14</v>
      </c>
      <c r="E22" s="1">
        <f>(tbl_GreenRevolution[[#This Row],[Price]]-tbl_GreenRevolution[[#This Row],[Start Price]])/tbl_GreenRevolution[[#This Row],[Start Price]]</f>
        <v>-0.77375856164383561</v>
      </c>
      <c r="F22" s="2">
        <f>$E$27</f>
        <v>1.623676637537301E-2</v>
      </c>
      <c r="G22" s="2">
        <f>tbl_GreenRevolution[[#This Row],[% Change]]-tbl_GreenRevolution[[#This Row],[S&amp;P 500]]</f>
        <v>-0.78999532801920858</v>
      </c>
      <c r="H22" s="2">
        <f>$E$28</f>
        <v>8.4381939304219139E-2</v>
      </c>
      <c r="I22" s="2">
        <f>tbl_GreenRevolution[[#This Row],[% Change]]-tbl_GreenRevolution[[#This Row],[TSX 60]]</f>
        <v>-0.85814050094805472</v>
      </c>
    </row>
    <row r="23" spans="1:9" x14ac:dyDescent="0.25">
      <c r="A23" t="e" vm="59">
        <v>#VALUE!</v>
      </c>
      <c r="B23" t="str" cm="1">
        <f t="array" ref="B23">_FV(tbl_GreenRevolution[[#This Row],[Company]],"Ticker symbol",TRUE)</f>
        <v>BLNK</v>
      </c>
      <c r="C23" s="9">
        <v>52.31</v>
      </c>
      <c r="D23" s="10" cm="1">
        <f t="array" ref="D23">_FV(tbl_GreenRevolution[[#This Row],[Company]],"Price")</f>
        <v>14.55</v>
      </c>
      <c r="E23" s="1">
        <f>(tbl_GreenRevolution[[#This Row],[Price]]-tbl_GreenRevolution[[#This Row],[Start Price]])/tbl_GreenRevolution[[#This Row],[Start Price]]</f>
        <v>-0.72185050659529737</v>
      </c>
      <c r="F23" s="2">
        <f t="shared" ref="F23:F27" si="0">$E$27</f>
        <v>1.623676637537301E-2</v>
      </c>
      <c r="G23" s="2">
        <f>tbl_GreenRevolution[[#This Row],[% Change]]-tbl_GreenRevolution[[#This Row],[S&amp;P 500]]</f>
        <v>-0.73808727297067034</v>
      </c>
      <c r="H23" s="2">
        <f t="shared" ref="H23:H28" si="1">$E$28</f>
        <v>8.4381939304219139E-2</v>
      </c>
      <c r="I23" s="2">
        <f>tbl_GreenRevolution[[#This Row],[% Change]]-tbl_GreenRevolution[[#This Row],[TSX 60]]</f>
        <v>-0.80623244589951648</v>
      </c>
    </row>
    <row r="24" spans="1:9" x14ac:dyDescent="0.25">
      <c r="A24" t="e" vm="60">
        <v>#VALUE!</v>
      </c>
      <c r="B24" t="str" cm="1">
        <f t="array" ref="B24">_FV(tbl_GreenRevolution[[#This Row],[Company]],"Ticker symbol",TRUE)</f>
        <v>PLUG</v>
      </c>
      <c r="C24" s="9">
        <v>66.02</v>
      </c>
      <c r="D24" s="10" cm="1">
        <f t="array" ref="D24">_FV(tbl_GreenRevolution[[#This Row],[Company]],"Price")</f>
        <v>16.57</v>
      </c>
      <c r="E24" s="1">
        <f>(tbl_GreenRevolution[[#This Row],[Price]]-tbl_GreenRevolution[[#This Row],[Start Price]])/tbl_GreenRevolution[[#This Row],[Start Price]]</f>
        <v>-0.74901544986367763</v>
      </c>
      <c r="F24" s="2">
        <f t="shared" si="0"/>
        <v>1.623676637537301E-2</v>
      </c>
      <c r="G24" s="2">
        <f>tbl_GreenRevolution[[#This Row],[% Change]]-tbl_GreenRevolution[[#This Row],[S&amp;P 500]]</f>
        <v>-0.7652522162390506</v>
      </c>
      <c r="H24" s="2">
        <f t="shared" si="1"/>
        <v>8.4381939304219139E-2</v>
      </c>
      <c r="I24" s="2">
        <f>tbl_GreenRevolution[[#This Row],[% Change]]-tbl_GreenRevolution[[#This Row],[TSX 60]]</f>
        <v>-0.83339738916789674</v>
      </c>
    </row>
    <row r="25" spans="1:9" x14ac:dyDescent="0.25">
      <c r="A25" t="e" vm="61">
        <v>#VALUE!</v>
      </c>
      <c r="B25" t="str" cm="1">
        <f t="array" ref="B25">_FV(tbl_GreenRevolution[[#This Row],[Company]],"Ticker symbol",TRUE)</f>
        <v>ENPH</v>
      </c>
      <c r="C25" s="9">
        <v>206.49</v>
      </c>
      <c r="D25" s="10" cm="1">
        <f t="array" ref="D25">_FV(tbl_GreenRevolution[[#This Row],[Company]],"Price")</f>
        <v>265.58999999999997</v>
      </c>
      <c r="E25" s="1">
        <f>(tbl_GreenRevolution[[#This Row],[Price]]-tbl_GreenRevolution[[#This Row],[Start Price]])/tbl_GreenRevolution[[#This Row],[Start Price]]</f>
        <v>0.28621240738050252</v>
      </c>
      <c r="F25" s="2">
        <f t="shared" si="0"/>
        <v>1.623676637537301E-2</v>
      </c>
      <c r="G25" s="2">
        <f>tbl_GreenRevolution[[#This Row],[% Change]]-tbl_GreenRevolution[[#This Row],[S&amp;P 500]]</f>
        <v>0.2699756410051295</v>
      </c>
      <c r="H25" s="2">
        <f t="shared" si="1"/>
        <v>8.4381939304219139E-2</v>
      </c>
      <c r="I25" s="2">
        <f>tbl_GreenRevolution[[#This Row],[% Change]]-tbl_GreenRevolution[[#This Row],[TSX 60]]</f>
        <v>0.20183046807628338</v>
      </c>
    </row>
    <row r="26" spans="1:9" x14ac:dyDescent="0.25">
      <c r="A26" t="e" vm="62">
        <v>#VALUE!</v>
      </c>
      <c r="B26" t="str" cm="1">
        <f t="array" ref="B26">_FV(tbl_GreenRevolution[[#This Row],[Company]],"Ticker symbol",TRUE)</f>
        <v>BLX</v>
      </c>
      <c r="C26" s="9">
        <v>55.59</v>
      </c>
      <c r="D26" s="10" cm="1">
        <f t="array" ref="D26">_FV(tbl_GreenRevolution[[#This Row],[Company]],"Price")</f>
        <v>36.99</v>
      </c>
      <c r="E26" s="1">
        <f>(tbl_GreenRevolution[[#This Row],[Price]]-tbl_GreenRevolution[[#This Row],[Start Price]])/tbl_GreenRevolution[[#This Row],[Start Price]]</f>
        <v>-0.33459255261737725</v>
      </c>
      <c r="F26" s="2">
        <f t="shared" si="0"/>
        <v>1.623676637537301E-2</v>
      </c>
      <c r="G26" s="2">
        <f>tbl_GreenRevolution[[#This Row],[% Change]]-tbl_GreenRevolution[[#This Row],[S&amp;P 500]]</f>
        <v>-0.35082931899275027</v>
      </c>
      <c r="H26" s="2">
        <f t="shared" si="1"/>
        <v>8.4381939304219139E-2</v>
      </c>
      <c r="I26" s="2">
        <f>tbl_GreenRevolution[[#This Row],[% Change]]-tbl_GreenRevolution[[#This Row],[TSX 60]]</f>
        <v>-0.41897449192159641</v>
      </c>
    </row>
    <row r="27" spans="1:9" x14ac:dyDescent="0.25">
      <c r="A27" t="e" vm="29">
        <v>#VALUE!</v>
      </c>
      <c r="B27" t="str" cm="1">
        <f t="array" ref="B27">_FV(tbl_GreenRevolution[[#This Row],[Company]],"Ticker symbol",TRUE)</f>
        <v>SPY</v>
      </c>
      <c r="C27" s="10">
        <v>378.77</v>
      </c>
      <c r="D27" s="10" cm="1">
        <f t="array" ref="D27">_FV(tbl_GreenRevolution[[#This Row],[Company]],"Price")</f>
        <v>384.92</v>
      </c>
      <c r="E27" s="1">
        <f>(tbl_GreenRevolution[[#This Row],[Price]]-tbl_GreenRevolution[[#This Row],[Start Price]])/tbl_GreenRevolution[[#This Row],[Start Price]]</f>
        <v>1.623676637537301E-2</v>
      </c>
      <c r="F27" s="2">
        <f t="shared" si="0"/>
        <v>1.623676637537301E-2</v>
      </c>
      <c r="G27" s="2">
        <f>tbl_GreenRevolution[[#This Row],[% Change]]-tbl_GreenRevolution[[#This Row],[S&amp;P 500]]</f>
        <v>0</v>
      </c>
      <c r="H27" s="2">
        <f t="shared" si="1"/>
        <v>8.4381939304219139E-2</v>
      </c>
      <c r="I27" s="2">
        <f>tbl_GreenRevolution[[#This Row],[% Change]]-tbl_GreenRevolution[[#This Row],[TSX 60]]</f>
        <v>-6.8145172928846129E-2</v>
      </c>
    </row>
    <row r="28" spans="1:9" x14ac:dyDescent="0.25">
      <c r="A28" t="e" vm="30">
        <v>#VALUE!</v>
      </c>
      <c r="B28" t="str" cm="1">
        <f t="array" ref="B28">_FV(tbl_GreenRevolution[[#This Row],[Company]],"Ticker symbol",TRUE)</f>
        <v>XIU</v>
      </c>
      <c r="C28" s="10">
        <v>27.02</v>
      </c>
      <c r="D28" s="10" cm="1">
        <f t="array" ref="D28">_FV(tbl_GreenRevolution[[#This Row],[Company]],"Price")</f>
        <v>29.3</v>
      </c>
      <c r="E28" s="1">
        <f>(tbl_GreenRevolution[[#This Row],[Price]]-tbl_GreenRevolution[[#This Row],[Start Price]])/tbl_GreenRevolution[[#This Row],[Start Price]]</f>
        <v>8.4381939304219139E-2</v>
      </c>
      <c r="F28" s="2">
        <f>$E$27</f>
        <v>1.623676637537301E-2</v>
      </c>
      <c r="G28" s="2">
        <f>tbl_GreenRevolution[[#This Row],[% Change]]-tbl_GreenRevolution[[#This Row],[S&amp;P 500]]</f>
        <v>6.8145172928846129E-2</v>
      </c>
      <c r="H28" s="2">
        <f t="shared" si="1"/>
        <v>8.4381939304219139E-2</v>
      </c>
      <c r="I28" s="2">
        <f>tbl_GreenRevolution[[#This Row],[% Change]]-tbl_GreenRevolution[[#This Row],[TSX 60]]</f>
        <v>0</v>
      </c>
    </row>
    <row r="30" spans="1:9" x14ac:dyDescent="0.25">
      <c r="A30" t="s">
        <v>31</v>
      </c>
      <c r="B30" t="str">
        <f>IFERROR(_xlfn.XLOOKUP(C30,E22:E26,B22:B26),"Check")</f>
        <v>ENPH</v>
      </c>
      <c r="C30" s="2">
        <f>MAX(E22:E26)</f>
        <v>0.28621240738050252</v>
      </c>
    </row>
    <row r="31" spans="1:9" x14ac:dyDescent="0.25">
      <c r="A31" t="s">
        <v>30</v>
      </c>
      <c r="B31" t="str">
        <f>IFERROR(_xlfn.XLOOKUP(C31,E22:E26,B22:B26),"Check")</f>
        <v>RUN</v>
      </c>
      <c r="C31" s="2">
        <f>MIN(E22:E26)</f>
        <v>-0.77375856164383561</v>
      </c>
    </row>
    <row r="33" spans="1:8" x14ac:dyDescent="0.25">
      <c r="A33" t="s">
        <v>17</v>
      </c>
      <c r="B33" s="14">
        <f>AVERAGE(tbl_GreenRevolution[% Change])</f>
        <v>-0.31319799395144182</v>
      </c>
    </row>
    <row r="34" spans="1:8" x14ac:dyDescent="0.25">
      <c r="A34" t="s">
        <v>18</v>
      </c>
      <c r="B34" s="1">
        <f>AVERAGE(tbl_GreenRevolution[S&amp;P 500])</f>
        <v>1.623676637537301E-2</v>
      </c>
      <c r="E34" s="1"/>
      <c r="F34" s="1"/>
      <c r="H34" s="1"/>
    </row>
    <row r="35" spans="1:8" x14ac:dyDescent="0.25">
      <c r="A35" t="s">
        <v>19</v>
      </c>
      <c r="B35" s="1">
        <f>AVERAGE(tbl_GreenRevolution[TSX 60])</f>
        <v>8.4381939304219125E-2</v>
      </c>
      <c r="E35" s="1"/>
      <c r="F35" s="1"/>
      <c r="H35" s="1"/>
    </row>
    <row r="36" spans="1:8" x14ac:dyDescent="0.25">
      <c r="A36" s="13" t="s">
        <v>20</v>
      </c>
      <c r="B36" s="6">
        <f>B33-B34</f>
        <v>-0.32943476032681485</v>
      </c>
    </row>
    <row r="37" spans="1:8" x14ac:dyDescent="0.25">
      <c r="A37" s="13" t="s">
        <v>21</v>
      </c>
      <c r="B37" s="6">
        <f>B33-B35</f>
        <v>-0.39757993325566093</v>
      </c>
    </row>
  </sheetData>
  <conditionalFormatting sqref="G22:G28">
    <cfRule type="cellIs" dxfId="103" priority="7" operator="lessThan">
      <formula>0</formula>
    </cfRule>
    <cfRule type="cellIs" dxfId="102" priority="8" operator="greaterThan">
      <formula>0</formula>
    </cfRule>
  </conditionalFormatting>
  <conditionalFormatting sqref="B36">
    <cfRule type="cellIs" dxfId="101" priority="5" operator="lessThan">
      <formula>0</formula>
    </cfRule>
    <cfRule type="cellIs" dxfId="100" priority="6" operator="greaterThan">
      <formula>0</formula>
    </cfRule>
  </conditionalFormatting>
  <conditionalFormatting sqref="I22:I28">
    <cfRule type="cellIs" dxfId="99" priority="3" operator="lessThan">
      <formula>0</formula>
    </cfRule>
    <cfRule type="cellIs" dxfId="98" priority="4" operator="greaterThan">
      <formula>0</formula>
    </cfRule>
  </conditionalFormatting>
  <conditionalFormatting sqref="B37">
    <cfRule type="cellIs" dxfId="97" priority="1" operator="lessThan">
      <formula>0</formula>
    </cfRule>
    <cfRule type="cellIs" dxfId="96" priority="2" operator="greaterThan">
      <formula>0</formula>
    </cfRule>
  </conditionalFormatting>
  <hyperlinks>
    <hyperlink ref="H1" location="OverallStats!A1" display="Return to Overall Stats" xr:uid="{4E75E027-9463-4EC7-968D-B3A3A7E39B45}"/>
  </hyperlinks>
  <pageMargins left="0.25" right="0.25" top="0.75" bottom="0.75" header="0.3" footer="0.3"/>
  <pageSetup orientation="landscape"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22C71-1333-4149-950E-89A70DC19331}">
  <dimension ref="A1:I37"/>
  <sheetViews>
    <sheetView workbookViewId="0">
      <selection activeCell="A2" sqref="A2"/>
    </sheetView>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46</v>
      </c>
      <c r="G1" s="7"/>
      <c r="H1" s="7" t="s">
        <v>11</v>
      </c>
    </row>
    <row r="2" spans="1:8" ht="15.75" thickTop="1" x14ac:dyDescent="0.25"/>
    <row r="20" spans="1:9" x14ac:dyDescent="0.25">
      <c r="A20" t="s">
        <v>1</v>
      </c>
      <c r="B20" s="4">
        <v>44216</v>
      </c>
    </row>
    <row r="21" spans="1:9" x14ac:dyDescent="0.25">
      <c r="A21" t="s">
        <v>0</v>
      </c>
      <c r="B21" t="s">
        <v>3</v>
      </c>
      <c r="C21" t="s">
        <v>2</v>
      </c>
      <c r="D21" t="s">
        <v>4</v>
      </c>
      <c r="E21" t="s">
        <v>5</v>
      </c>
      <c r="F21" t="s">
        <v>12</v>
      </c>
      <c r="G21" t="s">
        <v>6</v>
      </c>
      <c r="H21" t="s">
        <v>14</v>
      </c>
      <c r="I21" t="s">
        <v>15</v>
      </c>
    </row>
    <row r="22" spans="1:9" x14ac:dyDescent="0.25">
      <c r="A22" t="e" vm="63">
        <v>#VALUE!</v>
      </c>
      <c r="B22" t="str" cm="1">
        <f t="array" ref="B22">_FV(tbl_ElectricVehicles[[#This Row],[Company]],"Ticker symbol",TRUE)</f>
        <v>TSLA</v>
      </c>
      <c r="C22" s="9">
        <v>283.48</v>
      </c>
      <c r="D22" s="10" cm="1">
        <f t="array" ref="D22">_FV(tbl_ElectricVehicles[[#This Row],[Company]],"Price")</f>
        <v>222.41499999999999</v>
      </c>
      <c r="E22" s="1">
        <f>(tbl_ElectricVehicles[[#This Row],[Price]]-tbl_ElectricVehicles[[#This Row],[Start Price]])/tbl_ElectricVehicles[[#This Row],[Start Price]]</f>
        <v>-0.21541202201213497</v>
      </c>
      <c r="F22" s="2">
        <f>$E$27</f>
        <v>2.6830602516346599E-3</v>
      </c>
      <c r="G22" s="2">
        <f>tbl_ElectricVehicles[[#This Row],[% Change]]-tbl_ElectricVehicles[[#This Row],[S&amp;P 500]]</f>
        <v>-0.21809508226376964</v>
      </c>
      <c r="H22" s="2">
        <f>$E$28</f>
        <v>8.4783413550536799E-2</v>
      </c>
      <c r="I22" s="2">
        <f>tbl_ElectricVehicles[[#This Row],[% Change]]-tbl_ElectricVehicles[[#This Row],[TSX 60]]</f>
        <v>-0.30019543556267175</v>
      </c>
    </row>
    <row r="23" spans="1:9" x14ac:dyDescent="0.25">
      <c r="A23" t="e" vm="64">
        <v>#VALUE!</v>
      </c>
      <c r="B23" t="str" cm="1">
        <f t="array" ref="B23">_FV(tbl_ElectricVehicles[[#This Row],[Company]],"Ticker symbol",TRUE)</f>
        <v>GM</v>
      </c>
      <c r="C23" s="9">
        <v>55.86</v>
      </c>
      <c r="D23" s="10" cm="1">
        <f t="array" ref="D23">_FV(tbl_ElectricVehicles[[#This Row],[Company]],"Price")</f>
        <v>37.01</v>
      </c>
      <c r="E23" s="1">
        <f>(tbl_ElectricVehicles[[#This Row],[Price]]-tbl_ElectricVehicles[[#This Row],[Start Price]])/tbl_ElectricVehicles[[#This Row],[Start Price]]</f>
        <v>-0.33745076978159688</v>
      </c>
      <c r="F23" s="2">
        <f t="shared" ref="F23:F27" si="0">$E$27</f>
        <v>2.6830602516346599E-3</v>
      </c>
      <c r="G23" s="2">
        <f>tbl_ElectricVehicles[[#This Row],[% Change]]-tbl_ElectricVehicles[[#This Row],[S&amp;P 500]]</f>
        <v>-0.34013383003323155</v>
      </c>
      <c r="H23" s="2">
        <f t="shared" ref="H23:H28" si="1">$E$28</f>
        <v>8.4783413550536799E-2</v>
      </c>
      <c r="I23" s="2">
        <f>tbl_ElectricVehicles[[#This Row],[% Change]]-tbl_ElectricVehicles[[#This Row],[TSX 60]]</f>
        <v>-0.42223418333213369</v>
      </c>
    </row>
    <row r="24" spans="1:9" x14ac:dyDescent="0.25">
      <c r="A24" t="e" vm="4">
        <v>#VALUE!</v>
      </c>
      <c r="B24" t="str" cm="1">
        <f t="array" ref="B24">_FV(tbl_ElectricVehicles[[#This Row],[Company]],"Ticker symbol",TRUE)</f>
        <v>CRNC</v>
      </c>
      <c r="C24" s="9">
        <v>118.73</v>
      </c>
      <c r="D24" s="10" cm="1">
        <f t="array" ref="D24">_FV(tbl_ElectricVehicles[[#This Row],[Company]],"Price")</f>
        <v>17.46</v>
      </c>
      <c r="E24" s="1">
        <f>(tbl_ElectricVehicles[[#This Row],[Price]]-tbl_ElectricVehicles[[#This Row],[Start Price]])/tbl_ElectricVehicles[[#This Row],[Start Price]]</f>
        <v>-0.85294365366798619</v>
      </c>
      <c r="F24" s="2">
        <f t="shared" si="0"/>
        <v>2.6830602516346599E-3</v>
      </c>
      <c r="G24" s="2">
        <f>tbl_ElectricVehicles[[#This Row],[% Change]]-tbl_ElectricVehicles[[#This Row],[S&amp;P 500]]</f>
        <v>-0.85562671391962086</v>
      </c>
      <c r="H24" s="2">
        <f t="shared" si="1"/>
        <v>8.4783413550536799E-2</v>
      </c>
      <c r="I24" s="2">
        <f>tbl_ElectricVehicles[[#This Row],[% Change]]-tbl_ElectricVehicles[[#This Row],[TSX 60]]</f>
        <v>-0.93772706721852295</v>
      </c>
    </row>
    <row r="25" spans="1:9" x14ac:dyDescent="0.25">
      <c r="A25" t="e" vm="65">
        <v>#VALUE!</v>
      </c>
      <c r="B25" t="str" cm="1">
        <f t="array" ref="B25">_FV(tbl_ElectricVehicles[[#This Row],[Company]],"Ticker symbol",TRUE)</f>
        <v>AVAV</v>
      </c>
      <c r="C25" s="9">
        <v>131.47999999999999</v>
      </c>
      <c r="D25" s="10" cm="1">
        <f t="array" ref="D25">_FV(tbl_ElectricVehicles[[#This Row],[Company]],"Price")</f>
        <v>84.75</v>
      </c>
      <c r="E25" s="1">
        <f>(tbl_ElectricVehicles[[#This Row],[Price]]-tbl_ElectricVehicles[[#This Row],[Start Price]])/tbl_ElectricVehicles[[#This Row],[Start Price]]</f>
        <v>-0.35541527228475811</v>
      </c>
      <c r="F25" s="2">
        <f t="shared" si="0"/>
        <v>2.6830602516346599E-3</v>
      </c>
      <c r="G25" s="2">
        <f>tbl_ElectricVehicles[[#This Row],[% Change]]-tbl_ElectricVehicles[[#This Row],[S&amp;P 500]]</f>
        <v>-0.35809833253639278</v>
      </c>
      <c r="H25" s="2">
        <f t="shared" si="1"/>
        <v>8.4783413550536799E-2</v>
      </c>
      <c r="I25" s="2">
        <f>tbl_ElectricVehicles[[#This Row],[% Change]]-tbl_ElectricVehicles[[#This Row],[TSX 60]]</f>
        <v>-0.44019868583529492</v>
      </c>
    </row>
    <row r="26" spans="1:9" x14ac:dyDescent="0.25">
      <c r="A26" t="e" vm="66">
        <v>#VALUE!</v>
      </c>
      <c r="B26" t="str" cm="1">
        <f t="array" ref="B26">_FV(tbl_ElectricVehicles[[#This Row],[Company]],"Ticker symbol",TRUE)</f>
        <v>BB</v>
      </c>
      <c r="C26" s="9">
        <v>16.149999999999999</v>
      </c>
      <c r="D26" s="10" cm="1">
        <f t="array" ref="D26">_FV(tbl_ElectricVehicles[[#This Row],[Company]],"Price")</f>
        <v>6.21</v>
      </c>
      <c r="E26" s="1">
        <f>(tbl_ElectricVehicles[[#This Row],[Price]]-tbl_ElectricVehicles[[#This Row],[Start Price]])/tbl_ElectricVehicles[[#This Row],[Start Price]]</f>
        <v>-0.61547987616099065</v>
      </c>
      <c r="F26" s="2">
        <f t="shared" si="0"/>
        <v>2.6830602516346599E-3</v>
      </c>
      <c r="G26" s="2">
        <f>tbl_ElectricVehicles[[#This Row],[% Change]]-tbl_ElectricVehicles[[#This Row],[S&amp;P 500]]</f>
        <v>-0.61816293641262532</v>
      </c>
      <c r="H26" s="2">
        <f t="shared" si="1"/>
        <v>8.4783413550536799E-2</v>
      </c>
      <c r="I26" s="2">
        <f>tbl_ElectricVehicles[[#This Row],[% Change]]-tbl_ElectricVehicles[[#This Row],[TSX 60]]</f>
        <v>-0.7002632897115274</v>
      </c>
    </row>
    <row r="27" spans="1:9" x14ac:dyDescent="0.25">
      <c r="A27" t="e" vm="29">
        <v>#VALUE!</v>
      </c>
      <c r="B27" t="str" cm="1">
        <f t="array" ref="B27">_FV(tbl_ElectricVehicles[[#This Row],[Company]],"Ticker symbol",TRUE)</f>
        <v>SPY</v>
      </c>
      <c r="C27" s="10">
        <v>383.89</v>
      </c>
      <c r="D27" s="10" cm="1">
        <f t="array" ref="D27">_FV(tbl_ElectricVehicles[[#This Row],[Company]],"Price")</f>
        <v>384.92</v>
      </c>
      <c r="E27" s="1">
        <f>(tbl_ElectricVehicles[[#This Row],[Price]]-tbl_ElectricVehicles[[#This Row],[Start Price]])/tbl_ElectricVehicles[[#This Row],[Start Price]]</f>
        <v>2.6830602516346599E-3</v>
      </c>
      <c r="F27" s="2">
        <f t="shared" si="0"/>
        <v>2.6830602516346599E-3</v>
      </c>
      <c r="G27" s="2">
        <f>tbl_ElectricVehicles[[#This Row],[% Change]]-tbl_ElectricVehicles[[#This Row],[S&amp;P 500]]</f>
        <v>0</v>
      </c>
      <c r="H27" s="2">
        <f t="shared" si="1"/>
        <v>8.4783413550536799E-2</v>
      </c>
      <c r="I27" s="2">
        <f>tbl_ElectricVehicles[[#This Row],[% Change]]-tbl_ElectricVehicles[[#This Row],[TSX 60]]</f>
        <v>-8.210035329890214E-2</v>
      </c>
    </row>
    <row r="28" spans="1:9" x14ac:dyDescent="0.25">
      <c r="A28" t="e" vm="30">
        <v>#VALUE!</v>
      </c>
      <c r="B28" t="str" cm="1">
        <f t="array" ref="B28">_FV(tbl_ElectricVehicles[[#This Row],[Company]],"Ticker symbol",TRUE)</f>
        <v>XIU</v>
      </c>
      <c r="C28" s="10">
        <v>27.01</v>
      </c>
      <c r="D28" s="10" cm="1">
        <f t="array" ref="D28">_FV(tbl_ElectricVehicles[[#This Row],[Company]],"Price")</f>
        <v>29.3</v>
      </c>
      <c r="E28" s="1">
        <f>(tbl_ElectricVehicles[[#This Row],[Price]]-tbl_ElectricVehicles[[#This Row],[Start Price]])/tbl_ElectricVehicles[[#This Row],[Start Price]]</f>
        <v>8.4783413550536799E-2</v>
      </c>
      <c r="F28" s="2">
        <f>$E$27</f>
        <v>2.6830602516346599E-3</v>
      </c>
      <c r="G28" s="2">
        <f>tbl_ElectricVehicles[[#This Row],[% Change]]-tbl_ElectricVehicles[[#This Row],[S&amp;P 500]]</f>
        <v>8.210035329890214E-2</v>
      </c>
      <c r="H28" s="2">
        <f t="shared" si="1"/>
        <v>8.4783413550536799E-2</v>
      </c>
      <c r="I28" s="2">
        <f>tbl_ElectricVehicles[[#This Row],[% Change]]-tbl_ElectricVehicles[[#This Row],[TSX 60]]</f>
        <v>0</v>
      </c>
    </row>
    <row r="30" spans="1:9" x14ac:dyDescent="0.25">
      <c r="A30" t="s">
        <v>31</v>
      </c>
      <c r="B30" t="str">
        <f>IFERROR(_xlfn.XLOOKUP(C30,E22:E26,B22:B26),"Check")</f>
        <v>TSLA</v>
      </c>
      <c r="C30" s="2">
        <f>MAX(E22:E26)</f>
        <v>-0.21541202201213497</v>
      </c>
    </row>
    <row r="31" spans="1:9" x14ac:dyDescent="0.25">
      <c r="A31" t="s">
        <v>30</v>
      </c>
      <c r="B31" t="str">
        <f>IFERROR(_xlfn.XLOOKUP(C31,E22:E26,B22:B26),"Check")</f>
        <v>CRNC</v>
      </c>
      <c r="C31" s="2">
        <f>MIN(E22:E26)</f>
        <v>-0.85294365366798619</v>
      </c>
    </row>
    <row r="33" spans="1:8" x14ac:dyDescent="0.25">
      <c r="A33" t="s">
        <v>17</v>
      </c>
      <c r="B33" s="14">
        <f>AVERAGE(tbl_ElectricVehicles[% Change])</f>
        <v>-0.3270335885864708</v>
      </c>
    </row>
    <row r="34" spans="1:8" x14ac:dyDescent="0.25">
      <c r="A34" t="s">
        <v>18</v>
      </c>
      <c r="B34" s="1">
        <f>AVERAGE(tbl_ElectricVehicles[S&amp;P 500])</f>
        <v>2.6830602516346594E-3</v>
      </c>
      <c r="E34" s="1"/>
      <c r="F34" s="1"/>
      <c r="H34" s="1"/>
    </row>
    <row r="35" spans="1:8" x14ac:dyDescent="0.25">
      <c r="A35" t="s">
        <v>19</v>
      </c>
      <c r="B35" s="1">
        <f>AVERAGE(tbl_ElectricVehicles[TSX 60])</f>
        <v>8.4783413550536785E-2</v>
      </c>
      <c r="E35" s="1"/>
      <c r="F35" s="1"/>
      <c r="H35" s="1"/>
    </row>
    <row r="36" spans="1:8" x14ac:dyDescent="0.25">
      <c r="A36" s="13" t="s">
        <v>20</v>
      </c>
      <c r="B36" s="6">
        <f>B33-B34</f>
        <v>-0.32971664883810547</v>
      </c>
    </row>
    <row r="37" spans="1:8" x14ac:dyDescent="0.25">
      <c r="A37" s="13" t="s">
        <v>21</v>
      </c>
      <c r="B37" s="6">
        <f>B33-B35</f>
        <v>-0.41181700213700756</v>
      </c>
    </row>
  </sheetData>
  <conditionalFormatting sqref="G22:G28">
    <cfRule type="cellIs" dxfId="88" priority="7" operator="lessThan">
      <formula>0</formula>
    </cfRule>
    <cfRule type="cellIs" dxfId="87" priority="8" operator="greaterThan">
      <formula>0</formula>
    </cfRule>
  </conditionalFormatting>
  <conditionalFormatting sqref="B36">
    <cfRule type="cellIs" dxfId="86" priority="5" operator="lessThan">
      <formula>0</formula>
    </cfRule>
    <cfRule type="cellIs" dxfId="85" priority="6" operator="greaterThan">
      <formula>0</formula>
    </cfRule>
  </conditionalFormatting>
  <conditionalFormatting sqref="I22:I28">
    <cfRule type="cellIs" dxfId="84" priority="3" operator="lessThan">
      <formula>0</formula>
    </cfRule>
    <cfRule type="cellIs" dxfId="83" priority="4" operator="greaterThan">
      <formula>0</formula>
    </cfRule>
  </conditionalFormatting>
  <conditionalFormatting sqref="B37">
    <cfRule type="cellIs" dxfId="82" priority="1" operator="lessThan">
      <formula>0</formula>
    </cfRule>
    <cfRule type="cellIs" dxfId="81" priority="2" operator="greaterThan">
      <formula>0</formula>
    </cfRule>
  </conditionalFormatting>
  <hyperlinks>
    <hyperlink ref="H1" location="OverallStats!A1" display="Return to Overall Stats" xr:uid="{FB78D659-2BE4-4CE2-B4F5-2FBCEFAE9B0A}"/>
  </hyperlinks>
  <pageMargins left="0.25" right="0.25" top="0.75" bottom="0.75" header="0.3" footer="0.3"/>
  <pageSetup orientation="landscape"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2AEE0-015D-4EC8-9072-D32C1EB72340}">
  <sheetPr>
    <tabColor theme="9" tint="-0.499984740745262"/>
  </sheetPr>
  <dimension ref="A1:J37"/>
  <sheetViews>
    <sheetView workbookViewId="0">
      <selection activeCell="A2" sqref="A2"/>
    </sheetView>
  </sheetViews>
  <sheetFormatPr defaultRowHeight="15" x14ac:dyDescent="0.25"/>
  <cols>
    <col min="1" max="1" width="41.28515625" bestFit="1" customWidth="1"/>
    <col min="2" max="2" width="10.42578125" bestFit="1" customWidth="1"/>
    <col min="3" max="3" width="6.28515625" bestFit="1" customWidth="1"/>
    <col min="4" max="4" width="8.85546875" bestFit="1" customWidth="1"/>
    <col min="5" max="5" width="12.5703125" bestFit="1" customWidth="1"/>
    <col min="6" max="6" width="9.5703125" bestFit="1" customWidth="1"/>
    <col min="7" max="7" width="8.140625" bestFit="1" customWidth="1"/>
    <col min="8" max="8" width="9.85546875" bestFit="1" customWidth="1"/>
    <col min="10" max="10" width="8" bestFit="1" customWidth="1"/>
  </cols>
  <sheetData>
    <row r="1" spans="1:9" ht="20.25" thickBot="1" x14ac:dyDescent="0.35">
      <c r="A1" s="5" t="s">
        <v>47</v>
      </c>
      <c r="G1" s="7"/>
      <c r="H1" s="7"/>
      <c r="I1" s="7" t="s">
        <v>11</v>
      </c>
    </row>
    <row r="2" spans="1:9" ht="15.75" thickTop="1" x14ac:dyDescent="0.25"/>
    <row r="20" spans="1:10" x14ac:dyDescent="0.25">
      <c r="A20" t="s">
        <v>1</v>
      </c>
      <c r="B20" s="4">
        <v>44236</v>
      </c>
    </row>
    <row r="21" spans="1:10" x14ac:dyDescent="0.25">
      <c r="A21" t="s">
        <v>0</v>
      </c>
      <c r="B21" t="s">
        <v>2</v>
      </c>
      <c r="C21" t="s">
        <v>32</v>
      </c>
      <c r="D21" t="s">
        <v>33</v>
      </c>
      <c r="E21" t="s">
        <v>34</v>
      </c>
      <c r="F21" t="s">
        <v>5</v>
      </c>
      <c r="G21" t="s">
        <v>12</v>
      </c>
      <c r="H21" t="s">
        <v>6</v>
      </c>
      <c r="I21" t="s">
        <v>14</v>
      </c>
      <c r="J21" t="s">
        <v>15</v>
      </c>
    </row>
    <row r="22" spans="1:10" x14ac:dyDescent="0.25">
      <c r="A22" t="e" vm="67">
        <v>#VALUE!</v>
      </c>
      <c r="B22" s="16">
        <v>56.23</v>
      </c>
      <c r="C22" t="str" cm="1">
        <f t="array" ref="C22">_FV(tbl_BuyNowPayLater[[#This Row],[Company]],"Ticker symbol",TRUE)</f>
        <v>PRG</v>
      </c>
      <c r="D22" s="2" t="str" cm="1">
        <f t="array" ref="D22">_FV(tbl_BuyNowPayLater[[#This Row],[Company]],"Currency")</f>
        <v>USD</v>
      </c>
      <c r="E22" s="16" cm="1">
        <f t="array" ref="E22">_FV(tbl_BuyNowPayLater[[#This Row],[Company]],"Price")</f>
        <v>14.2</v>
      </c>
      <c r="F22" s="1">
        <f>(tbl_BuyNowPayLater[[#This Row],[Current Price]]-tbl_BuyNowPayLater[[#This Row],[Start Price]])/tbl_BuyNowPayLater[[#This Row],[Start Price]]</f>
        <v>-0.74746576560554867</v>
      </c>
      <c r="G22" s="2">
        <f>$F$27</f>
        <v>-1.3493599190127725E-2</v>
      </c>
      <c r="H22" s="2">
        <f>tbl_BuyNowPayLater[[#This Row],[% Change]]-tbl_BuyNowPayLater[[#This Row],[S&amp;P 500]]</f>
        <v>-0.73397216641542096</v>
      </c>
      <c r="I22" s="2">
        <f>$F$28</f>
        <v>6.468023255813958E-2</v>
      </c>
      <c r="J22" s="2">
        <f>tbl_BuyNowPayLater[[#This Row],[% Change]]-tbl_BuyNowPayLater[[#This Row],[TSX 60]]</f>
        <v>-0.81214599816368827</v>
      </c>
    </row>
    <row r="23" spans="1:10" x14ac:dyDescent="0.25">
      <c r="A23" t="e" vm="68">
        <v>#VALUE!</v>
      </c>
      <c r="B23" s="16">
        <v>106.85</v>
      </c>
      <c r="C23" t="str" cm="1">
        <f t="array" ref="C23">_FV(tbl_BuyNowPayLater[[#This Row],[Company]],"Ticker symbol",TRUE)</f>
        <v>GSY</v>
      </c>
      <c r="D23" s="2" t="str" cm="1">
        <f t="array" ref="D23">_FV(tbl_BuyNowPayLater[[#This Row],[Company]],"Currency")</f>
        <v>CAD</v>
      </c>
      <c r="E23" s="16" cm="1">
        <f t="array" ref="E23">_FV(tbl_BuyNowPayLater[[#This Row],[Company]],"Price")</f>
        <v>111.73</v>
      </c>
      <c r="F23" s="1">
        <f>(tbl_BuyNowPayLater[[#This Row],[Current Price]]-tbl_BuyNowPayLater[[#This Row],[Start Price]])/tbl_BuyNowPayLater[[#This Row],[Start Price]]</f>
        <v>4.5671502105755823E-2</v>
      </c>
      <c r="G23" s="2">
        <f t="shared" ref="G23:G27" si="0">$F$27</f>
        <v>-1.3493599190127725E-2</v>
      </c>
      <c r="H23" s="2">
        <f>tbl_BuyNowPayLater[[#This Row],[% Change]]-tbl_BuyNowPayLater[[#This Row],[S&amp;P 500]]</f>
        <v>5.9165101295883551E-2</v>
      </c>
      <c r="I23" s="2">
        <f t="shared" ref="I23:I28" si="1">$F$28</f>
        <v>6.468023255813958E-2</v>
      </c>
      <c r="J23" s="2">
        <f>tbl_BuyNowPayLater[[#This Row],[% Change]]-tbl_BuyNowPayLater[[#This Row],[TSX 60]]</f>
        <v>-1.9008730452383757E-2</v>
      </c>
    </row>
    <row r="24" spans="1:10" x14ac:dyDescent="0.25">
      <c r="A24" t="e" vm="69">
        <v>#VALUE!</v>
      </c>
      <c r="B24" s="16">
        <v>131</v>
      </c>
      <c r="C24" t="str" cm="1">
        <f t="array" ref="C24">_FV(tbl_BuyNowPayLater[[#This Row],[Company]],"Ticker symbol",TRUE)</f>
        <v>AFRM</v>
      </c>
      <c r="D24" s="2" t="str" cm="1">
        <f t="array" ref="D24">_FV(tbl_BuyNowPayLater[[#This Row],[Company]],"Currency")</f>
        <v>USD</v>
      </c>
      <c r="E24" s="16" cm="1">
        <f t="array" ref="E24">_FV(tbl_BuyNowPayLater[[#This Row],[Company]],"Price")</f>
        <v>20.62</v>
      </c>
      <c r="F24" s="1">
        <f>(tbl_BuyNowPayLater[[#This Row],[Current Price]]-tbl_BuyNowPayLater[[#This Row],[Start Price]])/tbl_BuyNowPayLater[[#This Row],[Start Price]]</f>
        <v>-0.84259541984732822</v>
      </c>
      <c r="G24" s="2">
        <f t="shared" si="0"/>
        <v>-1.3493599190127725E-2</v>
      </c>
      <c r="H24" s="2">
        <f>tbl_BuyNowPayLater[[#This Row],[% Change]]-tbl_BuyNowPayLater[[#This Row],[S&amp;P 500]]</f>
        <v>-0.82910182065720051</v>
      </c>
      <c r="I24" s="2">
        <f t="shared" si="1"/>
        <v>6.468023255813958E-2</v>
      </c>
      <c r="J24" s="2">
        <f>tbl_BuyNowPayLater[[#This Row],[% Change]]-tbl_BuyNowPayLater[[#This Row],[TSX 60]]</f>
        <v>-0.90727565240546781</v>
      </c>
    </row>
    <row r="25" spans="1:10" x14ac:dyDescent="0.25">
      <c r="A25" t="e" vm="70">
        <v>#VALUE!</v>
      </c>
      <c r="B25" s="16">
        <v>118.8</v>
      </c>
      <c r="C25" t="str" cm="1">
        <f t="array" ref="C25">_FV(tbl_BuyNowPayLater[[#This Row],[Company]],"Ticker symbol",TRUE)</f>
        <v>AFTPF</v>
      </c>
      <c r="D25" s="2" t="str" cm="1">
        <f t="array" ref="D25">_FV(tbl_BuyNowPayLater[[#This Row],[Company]],"Currency")</f>
        <v>USD</v>
      </c>
      <c r="E25" s="16" cm="1">
        <f t="array" ref="E25">_FV(tbl_BuyNowPayLater[[#This Row],[Company]],"Price")</f>
        <v>88.9</v>
      </c>
      <c r="F25" s="1">
        <f>(tbl_BuyNowPayLater[[#This Row],[Current Price]]-tbl_BuyNowPayLater[[#This Row],[Start Price]])/tbl_BuyNowPayLater[[#This Row],[Start Price]]</f>
        <v>-0.25168350168350162</v>
      </c>
      <c r="G25" s="2">
        <f t="shared" si="0"/>
        <v>-1.3493599190127725E-2</v>
      </c>
      <c r="H25" s="2">
        <f>tbl_BuyNowPayLater[[#This Row],[% Change]]-tbl_BuyNowPayLater[[#This Row],[S&amp;P 500]]</f>
        <v>-0.23818990249337391</v>
      </c>
      <c r="I25" s="2">
        <f t="shared" si="1"/>
        <v>6.468023255813958E-2</v>
      </c>
      <c r="J25" s="2">
        <f>tbl_BuyNowPayLater[[#This Row],[% Change]]-tbl_BuyNowPayLater[[#This Row],[TSX 60]]</f>
        <v>-0.31636373424164121</v>
      </c>
    </row>
    <row r="26" spans="1:10" x14ac:dyDescent="0.25">
      <c r="A26" t="e" vm="71">
        <v>#VALUE!</v>
      </c>
      <c r="B26" s="16">
        <v>16.55</v>
      </c>
      <c r="C26" t="str" cm="1">
        <f t="array" ref="C26">_FV(tbl_BuyNowPayLater[[#This Row],[Company]],"Ticker symbol",TRUE)</f>
        <v>KPLT</v>
      </c>
      <c r="D26" s="2" t="str" cm="1">
        <f t="array" ref="D26">_FV(tbl_BuyNowPayLater[[#This Row],[Company]],"Currency")</f>
        <v>USD</v>
      </c>
      <c r="E26" s="16" cm="1">
        <f t="array" ref="E26">_FV(tbl_BuyNowPayLater[[#This Row],[Company]],"Price")</f>
        <v>0.96</v>
      </c>
      <c r="F26" s="1">
        <f>(tbl_BuyNowPayLater[[#This Row],[Current Price]]-tbl_BuyNowPayLater[[#This Row],[Start Price]])/tbl_BuyNowPayLater[[#This Row],[Start Price]]</f>
        <v>-0.94199395770392746</v>
      </c>
      <c r="G26" s="2">
        <f t="shared" si="0"/>
        <v>-1.3493599190127725E-2</v>
      </c>
      <c r="H26" s="2">
        <f>tbl_BuyNowPayLater[[#This Row],[% Change]]-tbl_BuyNowPayLater[[#This Row],[S&amp;P 500]]</f>
        <v>-0.92850035851379975</v>
      </c>
      <c r="I26" s="2">
        <f t="shared" si="1"/>
        <v>6.468023255813958E-2</v>
      </c>
      <c r="J26" s="2">
        <f>tbl_BuyNowPayLater[[#This Row],[% Change]]-tbl_BuyNowPayLater[[#This Row],[TSX 60]]</f>
        <v>-1.0066741902620671</v>
      </c>
    </row>
    <row r="27" spans="1:10" x14ac:dyDescent="0.25">
      <c r="A27" s="17" t="e" vm="29">
        <v>#VALUE!</v>
      </c>
      <c r="B27" s="18">
        <v>390.185</v>
      </c>
      <c r="C27" s="17" t="str" cm="1">
        <f t="array" ref="C27">_FV(tbl_BuyNowPayLater[[#This Row],[Company]],"Ticker symbol",TRUE)</f>
        <v>SPY</v>
      </c>
      <c r="D27" s="19" t="str" cm="1">
        <f t="array" ref="D27">_FV(tbl_BuyNowPayLater[[#This Row],[Company]],"Currency")</f>
        <v>USD</v>
      </c>
      <c r="E27" s="18" cm="1">
        <f t="array" ref="E27">_FV(tbl_BuyNowPayLater[[#This Row],[Company]],"Price")</f>
        <v>384.92</v>
      </c>
      <c r="F27" s="20">
        <f>(tbl_BuyNowPayLater[[#This Row],[Current Price]]-tbl_BuyNowPayLater[[#This Row],[Start Price]])/tbl_BuyNowPayLater[[#This Row],[Start Price]]</f>
        <v>-1.3493599190127725E-2</v>
      </c>
      <c r="G27" s="19">
        <f t="shared" si="0"/>
        <v>-1.3493599190127725E-2</v>
      </c>
      <c r="H27" s="19">
        <f>tbl_BuyNowPayLater[[#This Row],[% Change]]-tbl_BuyNowPayLater[[#This Row],[S&amp;P 500]]</f>
        <v>0</v>
      </c>
      <c r="I27" s="19">
        <f t="shared" si="1"/>
        <v>6.468023255813958E-2</v>
      </c>
      <c r="J27" s="19">
        <f>tbl_BuyNowPayLater[[#This Row],[% Change]]-tbl_BuyNowPayLater[[#This Row],[TSX 60]]</f>
        <v>-7.8173831748267308E-2</v>
      </c>
    </row>
    <row r="28" spans="1:10" x14ac:dyDescent="0.25">
      <c r="A28" t="e" vm="30">
        <v>#VALUE!</v>
      </c>
      <c r="B28" s="16">
        <v>27.52</v>
      </c>
      <c r="C28" t="str" cm="1">
        <f t="array" ref="C28">_FV(tbl_BuyNowPayLater[[#This Row],[Company]],"Ticker symbol",TRUE)</f>
        <v>XIU</v>
      </c>
      <c r="D28" s="2" t="str" cm="1">
        <f t="array" ref="D28">_FV(tbl_BuyNowPayLater[[#This Row],[Company]],"Currency")</f>
        <v>CAD</v>
      </c>
      <c r="E28" s="16" cm="1">
        <f t="array" ref="E28">_FV(tbl_BuyNowPayLater[[#This Row],[Company]],"Price")</f>
        <v>29.3</v>
      </c>
      <c r="F28" s="1">
        <f>(tbl_BuyNowPayLater[[#This Row],[Current Price]]-tbl_BuyNowPayLater[[#This Row],[Start Price]])/tbl_BuyNowPayLater[[#This Row],[Start Price]]</f>
        <v>6.468023255813958E-2</v>
      </c>
      <c r="G28" s="2">
        <f>$F$27</f>
        <v>-1.3493599190127725E-2</v>
      </c>
      <c r="H28" s="2">
        <f>tbl_BuyNowPayLater[[#This Row],[% Change]]-tbl_BuyNowPayLater[[#This Row],[S&amp;P 500]]</f>
        <v>7.8173831748267308E-2</v>
      </c>
      <c r="I28" s="2">
        <f t="shared" si="1"/>
        <v>6.468023255813958E-2</v>
      </c>
      <c r="J28" s="2">
        <f>tbl_BuyNowPayLater[[#This Row],[% Change]]-tbl_BuyNowPayLater[[#This Row],[TSX 60]]</f>
        <v>0</v>
      </c>
    </row>
    <row r="30" spans="1:10" x14ac:dyDescent="0.25">
      <c r="A30" t="s">
        <v>31</v>
      </c>
      <c r="B30" t="str">
        <f>IFERROR(_xlfn.XLOOKUP(C30,F22:F26,C22:C26),"Check")</f>
        <v>GSY</v>
      </c>
      <c r="C30" s="2">
        <f>MAX(F22:F26)</f>
        <v>4.5671502105755823E-2</v>
      </c>
    </row>
    <row r="31" spans="1:10" x14ac:dyDescent="0.25">
      <c r="A31" t="s">
        <v>30</v>
      </c>
      <c r="B31" t="str">
        <f>IFERROR(_xlfn.XLOOKUP(C31,F22:F26,C22:C26),"Check")</f>
        <v>KPLT</v>
      </c>
      <c r="C31" s="2">
        <f>MIN(F22:F26)</f>
        <v>-0.94199395770392746</v>
      </c>
    </row>
    <row r="33" spans="1:8" x14ac:dyDescent="0.25">
      <c r="A33" t="s">
        <v>17</v>
      </c>
      <c r="B33" s="14">
        <f>AVERAGE(tbl_BuyNowPayLater[% Change])</f>
        <v>-0.38384007276664833</v>
      </c>
    </row>
    <row r="34" spans="1:8" x14ac:dyDescent="0.25">
      <c r="A34" t="s">
        <v>18</v>
      </c>
      <c r="B34" s="1">
        <f>AVERAGE(tbl_BuyNowPayLater[S&amp;P 500])</f>
        <v>-1.3493599190127726E-2</v>
      </c>
      <c r="E34" s="1"/>
      <c r="F34" s="1"/>
      <c r="H34" s="1"/>
    </row>
    <row r="35" spans="1:8" x14ac:dyDescent="0.25">
      <c r="A35" t="s">
        <v>19</v>
      </c>
      <c r="B35" s="1">
        <f>AVERAGE(tbl_BuyNowPayLater[TSX 60])</f>
        <v>6.468023255813958E-2</v>
      </c>
      <c r="E35" s="1"/>
      <c r="F35" s="1"/>
      <c r="H35" s="1"/>
    </row>
    <row r="36" spans="1:8" x14ac:dyDescent="0.25">
      <c r="A36" s="13" t="s">
        <v>20</v>
      </c>
      <c r="B36" s="6">
        <f>B33-B34</f>
        <v>-0.37034647357652062</v>
      </c>
    </row>
    <row r="37" spans="1:8" x14ac:dyDescent="0.25">
      <c r="A37" s="13" t="s">
        <v>21</v>
      </c>
      <c r="B37" s="6">
        <f>B33-B35</f>
        <v>-0.44852030532478793</v>
      </c>
    </row>
  </sheetData>
  <conditionalFormatting sqref="H22:H28">
    <cfRule type="cellIs" dxfId="73" priority="9" operator="lessThan">
      <formula>0</formula>
    </cfRule>
    <cfRule type="cellIs" dxfId="72" priority="10" operator="greaterThan">
      <formula>0</formula>
    </cfRule>
  </conditionalFormatting>
  <conditionalFormatting sqref="B36">
    <cfRule type="cellIs" dxfId="71" priority="7" operator="lessThan">
      <formula>0</formula>
    </cfRule>
    <cfRule type="cellIs" dxfId="70" priority="8" operator="greaterThan">
      <formula>0</formula>
    </cfRule>
  </conditionalFormatting>
  <conditionalFormatting sqref="J22:J28">
    <cfRule type="cellIs" dxfId="69" priority="5" operator="lessThan">
      <formula>0</formula>
    </cfRule>
    <cfRule type="cellIs" dxfId="68" priority="6" operator="greaterThan">
      <formula>0</formula>
    </cfRule>
  </conditionalFormatting>
  <conditionalFormatting sqref="B37">
    <cfRule type="cellIs" dxfId="67" priority="3" operator="lessThan">
      <formula>0</formula>
    </cfRule>
    <cfRule type="cellIs" dxfId="66" priority="4" operator="greaterThan">
      <formula>0</formula>
    </cfRule>
  </conditionalFormatting>
  <conditionalFormatting sqref="D22:D28">
    <cfRule type="cellIs" dxfId="65" priority="1" operator="equal">
      <formula>"USD"</formula>
    </cfRule>
    <cfRule type="cellIs" dxfId="64" priority="2" operator="equal">
      <formula>"CAD"</formula>
    </cfRule>
  </conditionalFormatting>
  <hyperlinks>
    <hyperlink ref="I1" location="OverallStats!A1" display="Return to Overall Stats" xr:uid="{D73CBEE5-F32F-403E-8F68-F1FD0AB8E686}"/>
  </hyperlinks>
  <pageMargins left="0.25" right="0.25" top="0.75" bottom="0.75" header="0.3" footer="0.3"/>
  <pageSetup orientation="landscape"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B3490-BCE5-441A-8C28-2C2770608456}">
  <dimension ref="A1:I37"/>
  <sheetViews>
    <sheetView workbookViewId="0">
      <selection activeCell="A2" sqref="A2"/>
    </sheetView>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48</v>
      </c>
      <c r="G1" s="7"/>
      <c r="H1" s="7" t="s">
        <v>11</v>
      </c>
    </row>
    <row r="2" spans="1:8" ht="15.75" thickTop="1" x14ac:dyDescent="0.25"/>
    <row r="20" spans="1:9" x14ac:dyDescent="0.25">
      <c r="A20" t="s">
        <v>1</v>
      </c>
      <c r="B20" s="4">
        <v>44372</v>
      </c>
    </row>
    <row r="21" spans="1:9" x14ac:dyDescent="0.25">
      <c r="A21" t="s">
        <v>0</v>
      </c>
      <c r="B21" t="s">
        <v>3</v>
      </c>
      <c r="C21" t="s">
        <v>2</v>
      </c>
      <c r="D21" t="s">
        <v>4</v>
      </c>
      <c r="E21" t="s">
        <v>5</v>
      </c>
      <c r="F21" t="s">
        <v>12</v>
      </c>
      <c r="G21" t="s">
        <v>6</v>
      </c>
      <c r="H21" t="s">
        <v>14</v>
      </c>
      <c r="I21" t="s">
        <v>15</v>
      </c>
    </row>
    <row r="22" spans="1:9" x14ac:dyDescent="0.25">
      <c r="A22" t="e" vm="7">
        <v>#VALUE!</v>
      </c>
      <c r="B22" t="str" cm="1">
        <f t="array" ref="B22">_FV(tbl_ForTheConsumer[[#This Row],[Company]],"Ticker symbol",TRUE)</f>
        <v>FTCH</v>
      </c>
      <c r="C22" s="9">
        <v>51.99</v>
      </c>
      <c r="D22" s="10" cm="1">
        <f t="array" ref="D22">_FV(tbl_ForTheConsumer[[#This Row],[Company]],"Price")</f>
        <v>8.26</v>
      </c>
      <c r="E22" s="1">
        <f>(tbl_ForTheConsumer[[#This Row],[Price]]-tbl_ForTheConsumer[[#This Row],[Start Price]])/tbl_ForTheConsumer[[#This Row],[Start Price]]</f>
        <v>-0.84112329294095023</v>
      </c>
      <c r="F22" s="2">
        <f>$E$27</f>
        <v>-9.7723916457654519E-2</v>
      </c>
      <c r="G22" s="2">
        <f>tbl_ForTheConsumer[[#This Row],[% Change]]-tbl_ForTheConsumer[[#This Row],[S&amp;P 500]]</f>
        <v>-0.74339937648329568</v>
      </c>
      <c r="H22" s="2">
        <f>$E$28</f>
        <v>-4.3421482206986557E-2</v>
      </c>
      <c r="I22" s="2">
        <f>tbl_ForTheConsumer[[#This Row],[% Change]]-tbl_ForTheConsumer[[#This Row],[TSX 60]]</f>
        <v>-0.79770181073396362</v>
      </c>
    </row>
    <row r="23" spans="1:9" x14ac:dyDescent="0.25">
      <c r="A23" t="e" vm="72">
        <v>#VALUE!</v>
      </c>
      <c r="B23" t="str" cm="1">
        <f t="array" ref="B23">_FV(tbl_ForTheConsumer[[#This Row],[Company]],"Ticker symbol",TRUE)</f>
        <v>SBUX</v>
      </c>
      <c r="C23" s="9">
        <v>113.04</v>
      </c>
      <c r="D23" s="10" cm="1">
        <f t="array" ref="D23">_FV(tbl_ForTheConsumer[[#This Row],[Company]],"Price")</f>
        <v>85.21</v>
      </c>
      <c r="E23" s="1">
        <f>(tbl_ForTheConsumer[[#This Row],[Price]]-tbl_ForTheConsumer[[#This Row],[Start Price]])/tbl_ForTheConsumer[[#This Row],[Start Price]]</f>
        <v>-0.24619603680113245</v>
      </c>
      <c r="F23" s="2">
        <f t="shared" ref="F23:F27" si="0">$E$27</f>
        <v>-9.7723916457654519E-2</v>
      </c>
      <c r="G23" s="2">
        <f>tbl_ForTheConsumer[[#This Row],[% Change]]-tbl_ForTheConsumer[[#This Row],[S&amp;P 500]]</f>
        <v>-0.14847212034347793</v>
      </c>
      <c r="H23" s="2">
        <f t="shared" ref="H23:H28" si="1">$E$28</f>
        <v>-4.3421482206986557E-2</v>
      </c>
      <c r="I23" s="2">
        <f>tbl_ForTheConsumer[[#This Row],[% Change]]-tbl_ForTheConsumer[[#This Row],[TSX 60]]</f>
        <v>-0.20277455459414589</v>
      </c>
    </row>
    <row r="24" spans="1:9" x14ac:dyDescent="0.25">
      <c r="A24" t="e" vm="73">
        <v>#VALUE!</v>
      </c>
      <c r="B24" t="str" cm="1">
        <f t="array" ref="B24">_FV(tbl_ForTheConsumer[[#This Row],[Company]],"Ticker symbol",TRUE)</f>
        <v>NKE</v>
      </c>
      <c r="C24" s="9">
        <v>154.35</v>
      </c>
      <c r="D24" s="10" cm="1">
        <f t="array" ref="D24">_FV(tbl_ForTheConsumer[[#This Row],[Company]],"Price")</f>
        <v>91.72</v>
      </c>
      <c r="E24" s="1">
        <f>(tbl_ForTheConsumer[[#This Row],[Price]]-tbl_ForTheConsumer[[#This Row],[Start Price]])/tbl_ForTheConsumer[[#This Row],[Start Price]]</f>
        <v>-0.40576611597019757</v>
      </c>
      <c r="F24" s="2">
        <f t="shared" si="0"/>
        <v>-9.7723916457654519E-2</v>
      </c>
      <c r="G24" s="2">
        <f>tbl_ForTheConsumer[[#This Row],[% Change]]-tbl_ForTheConsumer[[#This Row],[S&amp;P 500]]</f>
        <v>-0.30804219951254308</v>
      </c>
      <c r="H24" s="2">
        <f t="shared" si="1"/>
        <v>-4.3421482206986557E-2</v>
      </c>
      <c r="I24" s="2">
        <f>tbl_ForTheConsumer[[#This Row],[% Change]]-tbl_ForTheConsumer[[#This Row],[TSX 60]]</f>
        <v>-0.36234463376321102</v>
      </c>
    </row>
    <row r="25" spans="1:9" x14ac:dyDescent="0.25">
      <c r="A25" t="e" vm="74">
        <v>#VALUE!</v>
      </c>
      <c r="B25" t="str" cm="1">
        <f t="array" ref="B25">_FV(tbl_ForTheConsumer[[#This Row],[Company]],"Ticker symbol",TRUE)</f>
        <v>GOOS</v>
      </c>
      <c r="C25" s="9">
        <v>53.6</v>
      </c>
      <c r="D25" s="10" cm="1">
        <f t="array" ref="D25">_FV(tbl_ForTheConsumer[[#This Row],[Company]],"Price")</f>
        <v>24.46</v>
      </c>
      <c r="E25" s="1">
        <f>(tbl_ForTheConsumer[[#This Row],[Price]]-tbl_ForTheConsumer[[#This Row],[Start Price]])/tbl_ForTheConsumer[[#This Row],[Start Price]]</f>
        <v>-0.54365671641791047</v>
      </c>
      <c r="F25" s="2">
        <f t="shared" si="0"/>
        <v>-9.7723916457654519E-2</v>
      </c>
      <c r="G25" s="2">
        <f>tbl_ForTheConsumer[[#This Row],[% Change]]-tbl_ForTheConsumer[[#This Row],[S&amp;P 500]]</f>
        <v>-0.44593279996025592</v>
      </c>
      <c r="H25" s="2">
        <f t="shared" si="1"/>
        <v>-4.3421482206986557E-2</v>
      </c>
      <c r="I25" s="2">
        <f>tbl_ForTheConsumer[[#This Row],[% Change]]-tbl_ForTheConsumer[[#This Row],[TSX 60]]</f>
        <v>-0.50023523421092386</v>
      </c>
    </row>
    <row r="26" spans="1:9" x14ac:dyDescent="0.25">
      <c r="A26" t="e" vm="75">
        <v>#VALUE!</v>
      </c>
      <c r="B26" t="str" cm="1">
        <f t="array" ref="B26">_FV(tbl_ForTheConsumer[[#This Row],[Company]],"Ticker symbol",TRUE)</f>
        <v>LULU</v>
      </c>
      <c r="C26" s="9">
        <v>363.69</v>
      </c>
      <c r="D26" s="10" cm="1">
        <f t="array" ref="D26">_FV(tbl_ForTheConsumer[[#This Row],[Company]],"Price")</f>
        <v>320.63</v>
      </c>
      <c r="E26" s="1">
        <f>(tbl_ForTheConsumer[[#This Row],[Price]]-tbl_ForTheConsumer[[#This Row],[Start Price]])/tbl_ForTheConsumer[[#This Row],[Start Price]]</f>
        <v>-0.1183975363633864</v>
      </c>
      <c r="F26" s="2">
        <f t="shared" si="0"/>
        <v>-9.7723916457654519E-2</v>
      </c>
      <c r="G26" s="2">
        <f>tbl_ForTheConsumer[[#This Row],[% Change]]-tbl_ForTheConsumer[[#This Row],[S&amp;P 500]]</f>
        <v>-2.0673619905731883E-2</v>
      </c>
      <c r="H26" s="2">
        <f t="shared" si="1"/>
        <v>-4.3421482206986557E-2</v>
      </c>
      <c r="I26" s="2">
        <f>tbl_ForTheConsumer[[#This Row],[% Change]]-tbl_ForTheConsumer[[#This Row],[TSX 60]]</f>
        <v>-7.4976054156399852E-2</v>
      </c>
    </row>
    <row r="27" spans="1:9" x14ac:dyDescent="0.25">
      <c r="A27" t="e" vm="29">
        <v>#VALUE!</v>
      </c>
      <c r="B27" t="str" cm="1">
        <f t="array" ref="B27">_FV(tbl_ForTheConsumer[[#This Row],[Company]],"Ticker symbol",TRUE)</f>
        <v>SPY</v>
      </c>
      <c r="C27" s="10">
        <v>426.61</v>
      </c>
      <c r="D27" s="10" cm="1">
        <f t="array" ref="D27">_FV(tbl_ForTheConsumer[[#This Row],[Company]],"Price")</f>
        <v>384.92</v>
      </c>
      <c r="E27" s="1">
        <f>(tbl_ForTheConsumer[[#This Row],[Price]]-tbl_ForTheConsumer[[#This Row],[Start Price]])/tbl_ForTheConsumer[[#This Row],[Start Price]]</f>
        <v>-9.7723916457654519E-2</v>
      </c>
      <c r="F27" s="2">
        <f t="shared" si="0"/>
        <v>-9.7723916457654519E-2</v>
      </c>
      <c r="G27" s="2">
        <f>tbl_ForTheConsumer[[#This Row],[% Change]]-tbl_ForTheConsumer[[#This Row],[S&amp;P 500]]</f>
        <v>0</v>
      </c>
      <c r="H27" s="2">
        <f t="shared" si="1"/>
        <v>-4.3421482206986557E-2</v>
      </c>
      <c r="I27" s="2">
        <f>tbl_ForTheConsumer[[#This Row],[% Change]]-tbl_ForTheConsumer[[#This Row],[TSX 60]]</f>
        <v>-5.4302434250667962E-2</v>
      </c>
    </row>
    <row r="28" spans="1:9" x14ac:dyDescent="0.25">
      <c r="A28" t="e" vm="30">
        <v>#VALUE!</v>
      </c>
      <c r="B28" t="str" cm="1">
        <f t="array" ref="B28">_FV(tbl_ForTheConsumer[[#This Row],[Company]],"Ticker symbol",TRUE)</f>
        <v>XIU</v>
      </c>
      <c r="C28" s="10">
        <v>30.63</v>
      </c>
      <c r="D28" s="10" cm="1">
        <f t="array" ref="D28">_FV(tbl_ForTheConsumer[[#This Row],[Company]],"Price")</f>
        <v>29.3</v>
      </c>
      <c r="E28" s="1">
        <f>(tbl_ForTheConsumer[[#This Row],[Price]]-tbl_ForTheConsumer[[#This Row],[Start Price]])/tbl_ForTheConsumer[[#This Row],[Start Price]]</f>
        <v>-4.3421482206986557E-2</v>
      </c>
      <c r="F28" s="2">
        <f>$E$27</f>
        <v>-9.7723916457654519E-2</v>
      </c>
      <c r="G28" s="2">
        <f>tbl_ForTheConsumer[[#This Row],[% Change]]-tbl_ForTheConsumer[[#This Row],[S&amp;P 500]]</f>
        <v>5.4302434250667962E-2</v>
      </c>
      <c r="H28" s="2">
        <f t="shared" si="1"/>
        <v>-4.3421482206986557E-2</v>
      </c>
      <c r="I28" s="2">
        <f>tbl_ForTheConsumer[[#This Row],[% Change]]-tbl_ForTheConsumer[[#This Row],[TSX 60]]</f>
        <v>0</v>
      </c>
    </row>
    <row r="30" spans="1:9" x14ac:dyDescent="0.25">
      <c r="A30" t="s">
        <v>31</v>
      </c>
      <c r="B30" t="str">
        <f>IFERROR(_xlfn.XLOOKUP(C30,E22:E26,B22:B26),"Check")</f>
        <v>LULU</v>
      </c>
      <c r="C30" s="2">
        <f>MAX(E22:E26)</f>
        <v>-0.1183975363633864</v>
      </c>
    </row>
    <row r="31" spans="1:9" x14ac:dyDescent="0.25">
      <c r="A31" t="s">
        <v>30</v>
      </c>
      <c r="B31" t="str">
        <f>IFERROR(_xlfn.XLOOKUP(C31,E22:E26,B22:B26),"Check")</f>
        <v>FTCH</v>
      </c>
      <c r="C31" s="2">
        <f>MIN(E22:E26)</f>
        <v>-0.84112329294095023</v>
      </c>
    </row>
    <row r="33" spans="1:8" x14ac:dyDescent="0.25">
      <c r="A33" t="s">
        <v>17</v>
      </c>
      <c r="B33" s="14">
        <f>AVERAGE(tbl_ForTheConsumer[% Change])</f>
        <v>-0.32804072816545971</v>
      </c>
    </row>
    <row r="34" spans="1:8" x14ac:dyDescent="0.25">
      <c r="A34" t="s">
        <v>18</v>
      </c>
      <c r="B34" s="1">
        <f>AVERAGE(tbl_ForTheConsumer[S&amp;P 500])</f>
        <v>-9.7723916457654533E-2</v>
      </c>
      <c r="E34" s="1"/>
      <c r="F34" s="1"/>
      <c r="H34" s="1"/>
    </row>
    <row r="35" spans="1:8" x14ac:dyDescent="0.25">
      <c r="A35" t="s">
        <v>19</v>
      </c>
      <c r="B35" s="1">
        <f>AVERAGE(tbl_ForTheConsumer[TSX 60])</f>
        <v>-4.3421482206986557E-2</v>
      </c>
      <c r="E35" s="1"/>
      <c r="F35" s="1"/>
      <c r="H35" s="1"/>
    </row>
    <row r="36" spans="1:8" x14ac:dyDescent="0.25">
      <c r="A36" s="13" t="s">
        <v>20</v>
      </c>
      <c r="B36" s="6">
        <f>B33-B34</f>
        <v>-0.23031681170780516</v>
      </c>
    </row>
    <row r="37" spans="1:8" x14ac:dyDescent="0.25">
      <c r="A37" s="13" t="s">
        <v>21</v>
      </c>
      <c r="B37" s="6">
        <f>B33-B35</f>
        <v>-0.28461924595847315</v>
      </c>
    </row>
  </sheetData>
  <conditionalFormatting sqref="G22:G28">
    <cfRule type="cellIs" dxfId="57" priority="7" operator="lessThan">
      <formula>0</formula>
    </cfRule>
    <cfRule type="cellIs" dxfId="56" priority="8" operator="greaterThan">
      <formula>0</formula>
    </cfRule>
  </conditionalFormatting>
  <conditionalFormatting sqref="B36">
    <cfRule type="cellIs" dxfId="55" priority="5" operator="lessThan">
      <formula>0</formula>
    </cfRule>
    <cfRule type="cellIs" dxfId="54" priority="6" operator="greaterThan">
      <formula>0</formula>
    </cfRule>
  </conditionalFormatting>
  <conditionalFormatting sqref="I22:I28">
    <cfRule type="cellIs" dxfId="53" priority="3" operator="lessThan">
      <formula>0</formula>
    </cfRule>
    <cfRule type="cellIs" dxfId="52" priority="4" operator="greaterThan">
      <formula>0</formula>
    </cfRule>
  </conditionalFormatting>
  <conditionalFormatting sqref="B37">
    <cfRule type="cellIs" dxfId="51" priority="1" operator="lessThan">
      <formula>0</formula>
    </cfRule>
    <cfRule type="cellIs" dxfId="50" priority="2" operator="greaterThan">
      <formula>0</formula>
    </cfRule>
  </conditionalFormatting>
  <hyperlinks>
    <hyperlink ref="H1" location="OverallStats!A1" display="Return to Overall Stats" xr:uid="{EBD9705B-C842-4EC8-95BA-3195ECE4783C}"/>
  </hyperlinks>
  <pageMargins left="0.25" right="0.25" top="0.75" bottom="0.75" header="0.3" footer="0.3"/>
  <pageSetup orientation="landscape"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BC5A-6C46-490F-A076-56BF6EA45F76}">
  <dimension ref="A1:I37"/>
  <sheetViews>
    <sheetView workbookViewId="0">
      <selection activeCell="A2" sqref="A2"/>
    </sheetView>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49</v>
      </c>
      <c r="G1" s="7"/>
      <c r="H1" s="7" t="s">
        <v>11</v>
      </c>
    </row>
    <row r="2" spans="1:8" ht="15.75" thickTop="1" x14ac:dyDescent="0.25"/>
    <row r="20" spans="1:9" x14ac:dyDescent="0.25">
      <c r="A20" t="s">
        <v>1</v>
      </c>
      <c r="B20" s="4">
        <v>44372</v>
      </c>
    </row>
    <row r="21" spans="1:9" x14ac:dyDescent="0.25">
      <c r="A21" t="s">
        <v>0</v>
      </c>
      <c r="B21" t="s">
        <v>3</v>
      </c>
      <c r="C21" t="s">
        <v>2</v>
      </c>
      <c r="D21" t="s">
        <v>4</v>
      </c>
      <c r="E21" t="s">
        <v>5</v>
      </c>
      <c r="F21" t="s">
        <v>12</v>
      </c>
      <c r="G21" t="s">
        <v>6</v>
      </c>
      <c r="H21" t="s">
        <v>14</v>
      </c>
      <c r="I21" t="s">
        <v>15</v>
      </c>
    </row>
    <row r="22" spans="1:9" x14ac:dyDescent="0.25">
      <c r="A22" t="e" vm="76">
        <v>#VALUE!</v>
      </c>
      <c r="B22" t="str" cm="1">
        <f t="array" ref="B22">_FV(tbl_GetOutAndGo[[#This Row],[Company]],"Ticker symbol",TRUE)</f>
        <v>AC</v>
      </c>
      <c r="C22" s="9">
        <v>25.91</v>
      </c>
      <c r="D22" s="10" cm="1">
        <f t="array" ref="D22">_FV(tbl_GetOutAndGo[[#This Row],[Company]],"Price")</f>
        <v>18.739999999999998</v>
      </c>
      <c r="E22" s="1">
        <f>(tbl_GetOutAndGo[[#This Row],[Price]]-tbl_GetOutAndGo[[#This Row],[Start Price]])/tbl_GetOutAndGo[[#This Row],[Start Price]]</f>
        <v>-0.27672713238132002</v>
      </c>
      <c r="F22" s="2">
        <f>$E$27</f>
        <v>-9.7723916457654519E-2</v>
      </c>
      <c r="G22" s="2">
        <f>tbl_GetOutAndGo[[#This Row],[% Change]]-tbl_GetOutAndGo[[#This Row],[S&amp;P 500]]</f>
        <v>-0.1790032159236655</v>
      </c>
      <c r="H22" s="2">
        <f>$E$28</f>
        <v>-4.3421482206986557E-2</v>
      </c>
      <c r="I22" s="2">
        <f>tbl_GetOutAndGo[[#This Row],[% Change]]-tbl_GetOutAndGo[[#This Row],[TSX 60]]</f>
        <v>-0.23330565017433347</v>
      </c>
    </row>
    <row r="23" spans="1:9" x14ac:dyDescent="0.25">
      <c r="A23" t="e" vm="77">
        <v>#VALUE!</v>
      </c>
      <c r="B23" t="str" cm="1">
        <f t="array" ref="B23">_FV(tbl_GetOutAndGo[[#This Row],[Company]],"Ticker symbol",TRUE)</f>
        <v>DIS</v>
      </c>
      <c r="C23" s="9">
        <v>178.24</v>
      </c>
      <c r="D23" s="10" cm="1">
        <f t="array" ref="D23">_FV(tbl_GetOutAndGo[[#This Row],[Company]],"Price")</f>
        <v>104.36</v>
      </c>
      <c r="E23" s="1">
        <f>(tbl_GetOutAndGo[[#This Row],[Price]]-tbl_GetOutAndGo[[#This Row],[Start Price]])/tbl_GetOutAndGo[[#This Row],[Start Price]]</f>
        <v>-0.41449730700179538</v>
      </c>
      <c r="F23" s="2">
        <f t="shared" ref="F23:F27" si="0">$E$27</f>
        <v>-9.7723916457654519E-2</v>
      </c>
      <c r="G23" s="2">
        <f>tbl_GetOutAndGo[[#This Row],[% Change]]-tbl_GetOutAndGo[[#This Row],[S&amp;P 500]]</f>
        <v>-0.31677339054414089</v>
      </c>
      <c r="H23" s="2">
        <f t="shared" ref="H23:H28" si="1">$E$28</f>
        <v>-4.3421482206986557E-2</v>
      </c>
      <c r="I23" s="2">
        <f>tbl_GetOutAndGo[[#This Row],[% Change]]-tbl_GetOutAndGo[[#This Row],[TSX 60]]</f>
        <v>-0.37107582479480883</v>
      </c>
    </row>
    <row r="24" spans="1:9" x14ac:dyDescent="0.25">
      <c r="A24" t="e" vm="32">
        <v>#VALUE!</v>
      </c>
      <c r="B24" t="str" cm="1">
        <f t="array" ref="B24">_FV(tbl_GetOutAndGo[[#This Row],[Company]],"Ticker symbol",TRUE)</f>
        <v>V</v>
      </c>
      <c r="C24" s="9">
        <v>237.61</v>
      </c>
      <c r="D24" s="10" cm="1">
        <f t="array" ref="D24">_FV(tbl_GetOutAndGo[[#This Row],[Company]],"Price")</f>
        <v>194.38</v>
      </c>
      <c r="E24" s="1">
        <f>(tbl_GetOutAndGo[[#This Row],[Price]]-tbl_GetOutAndGo[[#This Row],[Start Price]])/tbl_GetOutAndGo[[#This Row],[Start Price]]</f>
        <v>-0.18193678717225711</v>
      </c>
      <c r="F24" s="2">
        <f t="shared" si="0"/>
        <v>-9.7723916457654519E-2</v>
      </c>
      <c r="G24" s="2">
        <f>tbl_GetOutAndGo[[#This Row],[% Change]]-tbl_GetOutAndGo[[#This Row],[S&amp;P 500]]</f>
        <v>-8.4212870714602595E-2</v>
      </c>
      <c r="H24" s="2">
        <f t="shared" si="1"/>
        <v>-4.3421482206986557E-2</v>
      </c>
      <c r="I24" s="2">
        <f>tbl_GetOutAndGo[[#This Row],[% Change]]-tbl_GetOutAndGo[[#This Row],[TSX 60]]</f>
        <v>-0.13851530496527056</v>
      </c>
    </row>
    <row r="25" spans="1:9" x14ac:dyDescent="0.25">
      <c r="A25" t="e" vm="78">
        <v>#VALUE!</v>
      </c>
      <c r="B25" t="str" cm="1">
        <f t="array" ref="B25">_FV(tbl_GetOutAndGo[[#This Row],[Company]],"Ticker symbol",TRUE)</f>
        <v>HLT</v>
      </c>
      <c r="C25" s="9">
        <v>124.48</v>
      </c>
      <c r="D25" s="10" cm="1">
        <f t="array" ref="D25">_FV(tbl_GetOutAndGo[[#This Row],[Company]],"Price")</f>
        <v>130.63999999999999</v>
      </c>
      <c r="E25" s="1">
        <f>(tbl_GetOutAndGo[[#This Row],[Price]]-tbl_GetOutAndGo[[#This Row],[Start Price]])/tbl_GetOutAndGo[[#This Row],[Start Price]]</f>
        <v>4.9485861182519138E-2</v>
      </c>
      <c r="F25" s="2">
        <f t="shared" si="0"/>
        <v>-9.7723916457654519E-2</v>
      </c>
      <c r="G25" s="2">
        <f>tbl_GetOutAndGo[[#This Row],[% Change]]-tbl_GetOutAndGo[[#This Row],[S&amp;P 500]]</f>
        <v>0.14720977764017365</v>
      </c>
      <c r="H25" s="2">
        <f t="shared" si="1"/>
        <v>-4.3421482206986557E-2</v>
      </c>
      <c r="I25" s="2">
        <f>tbl_GetOutAndGo[[#This Row],[% Change]]-tbl_GetOutAndGo[[#This Row],[TSX 60]]</f>
        <v>9.2907343389505695E-2</v>
      </c>
    </row>
    <row r="26" spans="1:9" x14ac:dyDescent="0.25">
      <c r="A26" t="e" vm="79">
        <v>#VALUE!</v>
      </c>
      <c r="B26" t="str" cm="1">
        <f t="array" ref="B26">_FV(tbl_GetOutAndGo[[#This Row],[Company]],"Ticker symbol",TRUE)</f>
        <v>YETI</v>
      </c>
      <c r="C26" s="9">
        <v>92.19</v>
      </c>
      <c r="D26" s="10" cm="1">
        <f t="array" ref="D26">_FV(tbl_GetOutAndGo[[#This Row],[Company]],"Price")</f>
        <v>31.71</v>
      </c>
      <c r="E26" s="1">
        <f>(tbl_GetOutAndGo[[#This Row],[Price]]-tbl_GetOutAndGo[[#This Row],[Start Price]])/tbl_GetOutAndGo[[#This Row],[Start Price]]</f>
        <v>-0.6560364464692483</v>
      </c>
      <c r="F26" s="2">
        <f t="shared" si="0"/>
        <v>-9.7723916457654519E-2</v>
      </c>
      <c r="G26" s="2">
        <f>tbl_GetOutAndGo[[#This Row],[% Change]]-tbl_GetOutAndGo[[#This Row],[S&amp;P 500]]</f>
        <v>-0.55831253001159376</v>
      </c>
      <c r="H26" s="2">
        <f t="shared" si="1"/>
        <v>-4.3421482206986557E-2</v>
      </c>
      <c r="I26" s="2">
        <f>tbl_GetOutAndGo[[#This Row],[% Change]]-tbl_GetOutAndGo[[#This Row],[TSX 60]]</f>
        <v>-0.6126149642622617</v>
      </c>
    </row>
    <row r="27" spans="1:9" x14ac:dyDescent="0.25">
      <c r="A27" t="e" vm="29">
        <v>#VALUE!</v>
      </c>
      <c r="B27" t="str" cm="1">
        <f t="array" ref="B27">_FV(tbl_GetOutAndGo[[#This Row],[Company]],"Ticker symbol",TRUE)</f>
        <v>SPY</v>
      </c>
      <c r="C27" s="10">
        <v>426.61</v>
      </c>
      <c r="D27" s="10" cm="1">
        <f t="array" ref="D27">_FV(tbl_GetOutAndGo[[#This Row],[Company]],"Price")</f>
        <v>384.92</v>
      </c>
      <c r="E27" s="1">
        <f>(tbl_GetOutAndGo[[#This Row],[Price]]-tbl_GetOutAndGo[[#This Row],[Start Price]])/tbl_GetOutAndGo[[#This Row],[Start Price]]</f>
        <v>-9.7723916457654519E-2</v>
      </c>
      <c r="F27" s="2">
        <f t="shared" si="0"/>
        <v>-9.7723916457654519E-2</v>
      </c>
      <c r="G27" s="2">
        <f>tbl_GetOutAndGo[[#This Row],[% Change]]-tbl_GetOutAndGo[[#This Row],[S&amp;P 500]]</f>
        <v>0</v>
      </c>
      <c r="H27" s="2">
        <f t="shared" si="1"/>
        <v>-4.3421482206986557E-2</v>
      </c>
      <c r="I27" s="2">
        <f>tbl_GetOutAndGo[[#This Row],[% Change]]-tbl_GetOutAndGo[[#This Row],[TSX 60]]</f>
        <v>-5.4302434250667962E-2</v>
      </c>
    </row>
    <row r="28" spans="1:9" x14ac:dyDescent="0.25">
      <c r="A28" t="e" vm="30">
        <v>#VALUE!</v>
      </c>
      <c r="B28" t="str" cm="1">
        <f t="array" ref="B28">_FV(tbl_GetOutAndGo[[#This Row],[Company]],"Ticker symbol",TRUE)</f>
        <v>XIU</v>
      </c>
      <c r="C28" s="10">
        <v>30.63</v>
      </c>
      <c r="D28" s="10" cm="1">
        <f t="array" ref="D28">_FV(tbl_GetOutAndGo[[#This Row],[Company]],"Price")</f>
        <v>29.3</v>
      </c>
      <c r="E28" s="1">
        <f>(tbl_GetOutAndGo[[#This Row],[Price]]-tbl_GetOutAndGo[[#This Row],[Start Price]])/tbl_GetOutAndGo[[#This Row],[Start Price]]</f>
        <v>-4.3421482206986557E-2</v>
      </c>
      <c r="F28" s="2">
        <f>$E$27</f>
        <v>-9.7723916457654519E-2</v>
      </c>
      <c r="G28" s="2">
        <f>tbl_GetOutAndGo[[#This Row],[% Change]]-tbl_GetOutAndGo[[#This Row],[S&amp;P 500]]</f>
        <v>5.4302434250667962E-2</v>
      </c>
      <c r="H28" s="2">
        <f t="shared" si="1"/>
        <v>-4.3421482206986557E-2</v>
      </c>
      <c r="I28" s="2">
        <f>tbl_GetOutAndGo[[#This Row],[% Change]]-tbl_GetOutAndGo[[#This Row],[TSX 60]]</f>
        <v>0</v>
      </c>
    </row>
    <row r="30" spans="1:9" x14ac:dyDescent="0.25">
      <c r="A30" t="s">
        <v>31</v>
      </c>
      <c r="B30" t="str">
        <f>IFERROR(_xlfn.XLOOKUP(C30,E22:E28,B22:B28),"Check")</f>
        <v>HLT</v>
      </c>
      <c r="C30" s="2">
        <f>MAX(E22:E26)</f>
        <v>4.9485861182519138E-2</v>
      </c>
    </row>
    <row r="31" spans="1:9" x14ac:dyDescent="0.25">
      <c r="A31" t="s">
        <v>30</v>
      </c>
      <c r="B31" t="str">
        <f>IFERROR(_xlfn.XLOOKUP(C31,E22:E26,B22:B26),"Check")</f>
        <v>YETI</v>
      </c>
      <c r="C31" s="2">
        <f>MIN(E22:E26)</f>
        <v>-0.6560364464692483</v>
      </c>
    </row>
    <row r="33" spans="1:8" x14ac:dyDescent="0.25">
      <c r="A33" t="s">
        <v>17</v>
      </c>
      <c r="B33" s="14">
        <f>AVERAGE(tbl_GetOutAndGo[% Change])</f>
        <v>-0.23155103007239178</v>
      </c>
    </row>
    <row r="34" spans="1:8" x14ac:dyDescent="0.25">
      <c r="A34" t="s">
        <v>18</v>
      </c>
      <c r="B34" s="1">
        <f>AVERAGE(tbl_GetOutAndGo[S&amp;P 500])</f>
        <v>-9.7723916457654533E-2</v>
      </c>
      <c r="E34" s="1"/>
      <c r="F34" s="1"/>
      <c r="H34" s="1"/>
    </row>
    <row r="35" spans="1:8" x14ac:dyDescent="0.25">
      <c r="A35" t="s">
        <v>19</v>
      </c>
      <c r="B35" s="1">
        <f>AVERAGE(tbl_GetOutAndGo[TSX 60])</f>
        <v>-4.3421482206986557E-2</v>
      </c>
      <c r="E35" s="1"/>
      <c r="F35" s="1"/>
      <c r="H35" s="1"/>
    </row>
    <row r="36" spans="1:8" x14ac:dyDescent="0.25">
      <c r="A36" s="13" t="s">
        <v>20</v>
      </c>
      <c r="B36" s="6">
        <f>B33-B34</f>
        <v>-0.13382711361473726</v>
      </c>
    </row>
    <row r="37" spans="1:8" x14ac:dyDescent="0.25">
      <c r="A37" s="13" t="s">
        <v>21</v>
      </c>
      <c r="B37" s="6">
        <f>B33-B35</f>
        <v>-0.18812954786540523</v>
      </c>
    </row>
  </sheetData>
  <conditionalFormatting sqref="G22:G28">
    <cfRule type="cellIs" dxfId="42" priority="7" operator="lessThan">
      <formula>0</formula>
    </cfRule>
    <cfRule type="cellIs" dxfId="41" priority="8" operator="greaterThan">
      <formula>0</formula>
    </cfRule>
  </conditionalFormatting>
  <conditionalFormatting sqref="B36">
    <cfRule type="cellIs" dxfId="40" priority="5" operator="lessThan">
      <formula>0</formula>
    </cfRule>
    <cfRule type="cellIs" dxfId="39" priority="6" operator="greaterThan">
      <formula>0</formula>
    </cfRule>
  </conditionalFormatting>
  <conditionalFormatting sqref="I22:I28">
    <cfRule type="cellIs" dxfId="38" priority="3" operator="lessThan">
      <formula>0</formula>
    </cfRule>
    <cfRule type="cellIs" dxfId="37" priority="4" operator="greaterThan">
      <formula>0</formula>
    </cfRule>
  </conditionalFormatting>
  <conditionalFormatting sqref="B37">
    <cfRule type="cellIs" dxfId="36" priority="1" operator="lessThan">
      <formula>0</formula>
    </cfRule>
    <cfRule type="cellIs" dxfId="35" priority="2" operator="greaterThan">
      <formula>0</formula>
    </cfRule>
  </conditionalFormatting>
  <hyperlinks>
    <hyperlink ref="H1" location="OverallStats!A1" display="Return to Overall Stats" xr:uid="{5FF74861-0980-4860-8E37-9E572E3815B4}"/>
  </hyperlinks>
  <pageMargins left="0.25" right="0.25" top="0.75" bottom="0.75" header="0.3" footer="0.3"/>
  <pageSetup orientation="landscape" r:id="rId1"/>
  <drawing r:id="rId2"/>
  <tableParts count="1">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C8083-D31B-4A29-A981-4623C7814366}">
  <dimension ref="A1:I38"/>
  <sheetViews>
    <sheetView workbookViewId="0">
      <selection activeCell="A2" sqref="A2"/>
    </sheetView>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50</v>
      </c>
      <c r="G1" s="7"/>
      <c r="H1" s="7" t="s">
        <v>11</v>
      </c>
    </row>
    <row r="2" spans="1:8" ht="15.75" thickTop="1" x14ac:dyDescent="0.25"/>
    <row r="20" spans="1:9" x14ac:dyDescent="0.25">
      <c r="A20" t="s">
        <v>1</v>
      </c>
      <c r="B20" s="4">
        <v>44418</v>
      </c>
    </row>
    <row r="21" spans="1:9" x14ac:dyDescent="0.25">
      <c r="A21" t="s">
        <v>0</v>
      </c>
      <c r="B21" t="s">
        <v>3</v>
      </c>
      <c r="C21" t="s">
        <v>2</v>
      </c>
      <c r="D21" t="s">
        <v>4</v>
      </c>
      <c r="E21" t="s">
        <v>5</v>
      </c>
      <c r="F21" t="s">
        <v>12</v>
      </c>
      <c r="G21" t="s">
        <v>6</v>
      </c>
      <c r="H21" t="s">
        <v>14</v>
      </c>
      <c r="I21" t="s">
        <v>15</v>
      </c>
    </row>
    <row r="22" spans="1:9" x14ac:dyDescent="0.25">
      <c r="A22" t="e" vm="80">
        <v>#VALUE!</v>
      </c>
      <c r="B22" t="str" cm="1">
        <f t="array" ref="B22">_FV(tbl_USInfrastructure[[#This Row],[Company]],"Ticker symbol",TRUE)</f>
        <v>GGG</v>
      </c>
      <c r="C22" s="9">
        <v>77.45</v>
      </c>
      <c r="D22" s="10" cm="1">
        <f t="array" ref="D22">_FV(tbl_USInfrastructure[[#This Row],[Company]],"Price")</f>
        <v>65.069999999999993</v>
      </c>
      <c r="E22" s="1">
        <f>(tbl_USInfrastructure[[#This Row],[Price]]-tbl_USInfrastructure[[#This Row],[Start Price]])/tbl_USInfrastructure[[#This Row],[Start Price]]</f>
        <v>-0.15984506132989038</v>
      </c>
      <c r="F22" s="2">
        <f t="shared" ref="F22:F29" si="0">$E$28</f>
        <v>-0.13047799765067314</v>
      </c>
      <c r="G22" s="2">
        <f>tbl_USInfrastructure[[#This Row],[% Change]]-tbl_USInfrastructure[[#This Row],[S&amp;P 500]]</f>
        <v>-2.9367063679217237E-2</v>
      </c>
      <c r="H22" s="2">
        <f t="shared" ref="H22:H29" si="1">$E$29</f>
        <v>-6.1499039077514354E-2</v>
      </c>
      <c r="I22" s="2">
        <f>tbl_USInfrastructure[[#This Row],[% Change]]-tbl_USInfrastructure[[#This Row],[TSX 60]]</f>
        <v>-9.8346022252376014E-2</v>
      </c>
    </row>
    <row r="23" spans="1:9" x14ac:dyDescent="0.25">
      <c r="A23" t="e" vm="81">
        <v>#VALUE!</v>
      </c>
      <c r="B23" t="str" cm="1">
        <f t="array" ref="B23">_FV(tbl_USInfrastructure[[#This Row],[Company]],"Ticker symbol",TRUE)</f>
        <v>LIN</v>
      </c>
      <c r="C23" s="9">
        <v>301.77999999999997</v>
      </c>
      <c r="D23" s="10" cm="1">
        <f t="array" ref="D23">_FV(tbl_USInfrastructure[[#This Row],[Company]],"Price")</f>
        <v>288.18</v>
      </c>
      <c r="E23" s="1">
        <f>(tbl_USInfrastructure[[#This Row],[Price]]-tbl_USInfrastructure[[#This Row],[Start Price]])/tbl_USInfrastructure[[#This Row],[Start Price]]</f>
        <v>-4.5065942077009633E-2</v>
      </c>
      <c r="F23" s="2">
        <f t="shared" si="0"/>
        <v>-0.13047799765067314</v>
      </c>
      <c r="G23" s="2">
        <f>tbl_USInfrastructure[[#This Row],[% Change]]-tbl_USInfrastructure[[#This Row],[S&amp;P 500]]</f>
        <v>8.5412055573663506E-2</v>
      </c>
      <c r="H23" s="2">
        <f t="shared" si="1"/>
        <v>-6.1499039077514354E-2</v>
      </c>
      <c r="I23" s="2">
        <f>tbl_USInfrastructure[[#This Row],[% Change]]-tbl_USInfrastructure[[#This Row],[TSX 60]]</f>
        <v>1.6433097000504722E-2</v>
      </c>
    </row>
    <row r="24" spans="1:9" x14ac:dyDescent="0.25">
      <c r="A24" t="e" vm="82">
        <v>#VALUE!</v>
      </c>
      <c r="B24" t="str" cm="1">
        <f t="array" ref="B24">_FV(tbl_USInfrastructure[[#This Row],[Company]],"Ticker symbol",TRUE)</f>
        <v>AMT</v>
      </c>
      <c r="C24" s="9">
        <v>275.3</v>
      </c>
      <c r="D24" s="10" cm="1">
        <f t="array" ref="D24">_FV(tbl_USInfrastructure[[#This Row],[Company]],"Price")</f>
        <v>195.53</v>
      </c>
      <c r="E24" s="1">
        <f>(tbl_USInfrastructure[[#This Row],[Price]]-tbl_USInfrastructure[[#This Row],[Start Price]])/tbl_USInfrastructure[[#This Row],[Start Price]]</f>
        <v>-0.28975662913185618</v>
      </c>
      <c r="F24" s="2">
        <f t="shared" si="0"/>
        <v>-0.13047799765067314</v>
      </c>
      <c r="G24" s="2">
        <f>tbl_USInfrastructure[[#This Row],[% Change]]-tbl_USInfrastructure[[#This Row],[S&amp;P 500]]</f>
        <v>-0.15927863148118304</v>
      </c>
      <c r="H24" s="2">
        <f t="shared" si="1"/>
        <v>-6.1499039077514354E-2</v>
      </c>
      <c r="I24" s="2">
        <f>tbl_USInfrastructure[[#This Row],[% Change]]-tbl_USInfrastructure[[#This Row],[TSX 60]]</f>
        <v>-0.22825759005434182</v>
      </c>
    </row>
    <row r="25" spans="1:9" x14ac:dyDescent="0.25">
      <c r="A25" t="e" vm="83">
        <v>#VALUE!</v>
      </c>
      <c r="B25" t="str" cm="1">
        <f t="array" ref="B25">_FV(tbl_USInfrastructure[[#This Row],[Company]],"Ticker symbol",TRUE)</f>
        <v>VMC</v>
      </c>
      <c r="C25" s="9">
        <v>187.34</v>
      </c>
      <c r="D25" s="10" cm="1">
        <f t="array" ref="D25">_FV(tbl_USInfrastructure[[#This Row],[Company]],"Price")</f>
        <v>162.28</v>
      </c>
      <c r="E25" s="1">
        <f>(tbl_USInfrastructure[[#This Row],[Price]]-tbl_USInfrastructure[[#This Row],[Start Price]])/tbl_USInfrastructure[[#This Row],[Start Price]]</f>
        <v>-0.13376748158428525</v>
      </c>
      <c r="F25" s="2">
        <f t="shared" si="0"/>
        <v>-0.13047799765067314</v>
      </c>
      <c r="G25" s="2">
        <f>tbl_USInfrastructure[[#This Row],[% Change]]-tbl_USInfrastructure[[#This Row],[S&amp;P 500]]</f>
        <v>-3.289483933612114E-3</v>
      </c>
      <c r="H25" s="2">
        <f t="shared" si="1"/>
        <v>-6.1499039077514354E-2</v>
      </c>
      <c r="I25" s="2">
        <f>tbl_USInfrastructure[[#This Row],[% Change]]-tbl_USInfrastructure[[#This Row],[TSX 60]]</f>
        <v>-7.2268442506770891E-2</v>
      </c>
    </row>
    <row r="26" spans="1:9" x14ac:dyDescent="0.25">
      <c r="A26" t="e" vm="84">
        <v>#VALUE!</v>
      </c>
      <c r="B26" t="str" cm="1">
        <f t="array" ref="B26">_FV(tbl_USInfrastructure[[#This Row],[Company]],"Ticker symbol",TRUE)</f>
        <v>NVEE</v>
      </c>
      <c r="C26" s="9">
        <v>98.32</v>
      </c>
      <c r="D26" s="10" cm="1">
        <f t="array" ref="D26">_FV(tbl_USInfrastructure[[#This Row],[Company]],"Price")</f>
        <v>141.91999999999999</v>
      </c>
      <c r="E26" s="1">
        <f>(tbl_USInfrastructure[[#This Row],[Price]]-tbl_USInfrastructure[[#This Row],[Start Price]])/tbl_USInfrastructure[[#This Row],[Start Price]]</f>
        <v>0.44344995931651748</v>
      </c>
      <c r="F26" s="2">
        <f t="shared" si="0"/>
        <v>-0.13047799765067314</v>
      </c>
      <c r="G26" s="2">
        <f>tbl_USInfrastructure[[#This Row],[% Change]]-tbl_USInfrastructure[[#This Row],[S&amp;P 500]]</f>
        <v>0.57392795696719068</v>
      </c>
      <c r="H26" s="2">
        <f t="shared" si="1"/>
        <v>-6.1499039077514354E-2</v>
      </c>
      <c r="I26" s="2">
        <f>tbl_USInfrastructure[[#This Row],[% Change]]-tbl_USInfrastructure[[#This Row],[TSX 60]]</f>
        <v>0.50494899839403184</v>
      </c>
    </row>
    <row r="27" spans="1:9" x14ac:dyDescent="0.25">
      <c r="A27" t="e" vm="85">
        <v>#VALUE!</v>
      </c>
      <c r="B27" t="str" cm="1">
        <f t="array" ref="B27">_FV(tbl_USInfrastructure[[#This Row],[Company]],"Ticker symbol",TRUE)</f>
        <v>ADSK</v>
      </c>
      <c r="C27" s="9">
        <v>331.28</v>
      </c>
      <c r="D27" s="10" cm="1">
        <f t="array" ref="D27">_FV(tbl_USInfrastructure[[#This Row],[Company]],"Price")</f>
        <v>215.72</v>
      </c>
      <c r="E27" s="1">
        <f>(tbl_USInfrastructure[[#This Row],[Price]]-tbl_USInfrastructure[[#This Row],[Start Price]])/tbl_USInfrastructure[[#This Row],[Start Price]]</f>
        <v>-0.34882878531755612</v>
      </c>
      <c r="F27" s="2">
        <f t="shared" si="0"/>
        <v>-0.13047799765067314</v>
      </c>
      <c r="G27" s="2">
        <f>tbl_USInfrastructure[[#This Row],[% Change]]-tbl_USInfrastructure[[#This Row],[S&amp;P 500]]</f>
        <v>-0.21835078766688298</v>
      </c>
      <c r="H27" s="2">
        <f t="shared" si="1"/>
        <v>-6.1499039077514354E-2</v>
      </c>
      <c r="I27" s="2">
        <f>tbl_USInfrastructure[[#This Row],[% Change]]-tbl_USInfrastructure[[#This Row],[TSX 60]]</f>
        <v>-0.28732974624004176</v>
      </c>
    </row>
    <row r="28" spans="1:9" x14ac:dyDescent="0.25">
      <c r="A28" t="e" vm="29">
        <v>#VALUE!</v>
      </c>
      <c r="B28" t="str" cm="1">
        <f t="array" ref="B28">_FV(tbl_USInfrastructure[[#This Row],[Company]],"Ticker symbol",TRUE)</f>
        <v>SPY</v>
      </c>
      <c r="C28" s="10">
        <v>442.68</v>
      </c>
      <c r="D28" s="10" cm="1">
        <f t="array" ref="D28">_FV(tbl_USInfrastructure[[#This Row],[Company]],"Price")</f>
        <v>384.92</v>
      </c>
      <c r="E28" s="1">
        <f>(tbl_USInfrastructure[[#This Row],[Price]]-tbl_USInfrastructure[[#This Row],[Start Price]])/tbl_USInfrastructure[[#This Row],[Start Price]]</f>
        <v>-0.13047799765067314</v>
      </c>
      <c r="F28" s="2">
        <f t="shared" si="0"/>
        <v>-0.13047799765067314</v>
      </c>
      <c r="G28" s="2">
        <f>tbl_USInfrastructure[[#This Row],[% Change]]-tbl_USInfrastructure[[#This Row],[S&amp;P 500]]</f>
        <v>0</v>
      </c>
      <c r="H28" s="2">
        <f t="shared" si="1"/>
        <v>-6.1499039077514354E-2</v>
      </c>
      <c r="I28" s="2">
        <f>tbl_USInfrastructure[[#This Row],[% Change]]-tbl_USInfrastructure[[#This Row],[TSX 60]]</f>
        <v>-6.8978958573158777E-2</v>
      </c>
    </row>
    <row r="29" spans="1:9" x14ac:dyDescent="0.25">
      <c r="A29" t="e" vm="30">
        <v>#VALUE!</v>
      </c>
      <c r="B29" t="str" cm="1">
        <f t="array" ref="B29">_FV(tbl_USInfrastructure[[#This Row],[Company]],"Ticker symbol",TRUE)</f>
        <v>XIU</v>
      </c>
      <c r="C29" s="10">
        <v>31.22</v>
      </c>
      <c r="D29" s="10" cm="1">
        <f t="array" ref="D29">_FV(tbl_USInfrastructure[[#This Row],[Company]],"Price")</f>
        <v>29.3</v>
      </c>
      <c r="E29" s="1">
        <f>(tbl_USInfrastructure[[#This Row],[Price]]-tbl_USInfrastructure[[#This Row],[Start Price]])/tbl_USInfrastructure[[#This Row],[Start Price]]</f>
        <v>-6.1499039077514354E-2</v>
      </c>
      <c r="F29" s="2">
        <f t="shared" si="0"/>
        <v>-0.13047799765067314</v>
      </c>
      <c r="G29" s="2">
        <f>tbl_USInfrastructure[[#This Row],[% Change]]-tbl_USInfrastructure[[#This Row],[S&amp;P 500]]</f>
        <v>6.8978958573158777E-2</v>
      </c>
      <c r="H29" s="2">
        <f t="shared" si="1"/>
        <v>-6.1499039077514354E-2</v>
      </c>
      <c r="I29" s="2">
        <f>tbl_USInfrastructure[[#This Row],[% Change]]-tbl_USInfrastructure[[#This Row],[TSX 60]]</f>
        <v>0</v>
      </c>
    </row>
    <row r="31" spans="1:9" x14ac:dyDescent="0.25">
      <c r="A31" t="s">
        <v>31</v>
      </c>
      <c r="B31" t="str">
        <f>IFERROR(_xlfn.XLOOKUP(C31,E22:E27,B22:B27),"Check")</f>
        <v>NVEE</v>
      </c>
      <c r="C31" s="2">
        <f>MAX(E22:E27)</f>
        <v>0.44344995931651748</v>
      </c>
    </row>
    <row r="32" spans="1:9" x14ac:dyDescent="0.25">
      <c r="A32" t="s">
        <v>30</v>
      </c>
      <c r="B32" t="str">
        <f>IFERROR(_xlfn.XLOOKUP(C32,E22:E27,B22:B27),"Check")</f>
        <v>ADSK</v>
      </c>
      <c r="C32" s="2">
        <f>MIN(E22:E27)</f>
        <v>-0.34882878531755612</v>
      </c>
    </row>
    <row r="34" spans="1:8" x14ac:dyDescent="0.25">
      <c r="A34" t="s">
        <v>17</v>
      </c>
      <c r="B34" s="14">
        <f>AVERAGE(tbl_USInfrastructure[% Change])</f>
        <v>-9.0723872106533432E-2</v>
      </c>
    </row>
    <row r="35" spans="1:8" x14ac:dyDescent="0.25">
      <c r="A35" t="s">
        <v>18</v>
      </c>
      <c r="B35" s="1">
        <f>AVERAGE(tbl_USInfrastructure[S&amp;P 500])</f>
        <v>-0.13047799765067314</v>
      </c>
      <c r="E35" s="1"/>
      <c r="F35" s="1"/>
      <c r="H35" s="1"/>
    </row>
    <row r="36" spans="1:8" x14ac:dyDescent="0.25">
      <c r="A36" t="s">
        <v>19</v>
      </c>
      <c r="B36" s="1">
        <f>AVERAGE(tbl_USInfrastructure[TSX 60])</f>
        <v>-6.1499039077514354E-2</v>
      </c>
      <c r="E36" s="1"/>
      <c r="F36" s="1"/>
      <c r="H36" s="1"/>
    </row>
    <row r="37" spans="1:8" x14ac:dyDescent="0.25">
      <c r="A37" s="13" t="s">
        <v>20</v>
      </c>
      <c r="B37" s="6">
        <f>B34-B35</f>
        <v>3.9754125544139707E-2</v>
      </c>
    </row>
    <row r="38" spans="1:8" x14ac:dyDescent="0.25">
      <c r="A38" s="13" t="s">
        <v>21</v>
      </c>
      <c r="B38" s="6">
        <f>B34-B36</f>
        <v>-2.9224833029019077E-2</v>
      </c>
    </row>
  </sheetData>
  <conditionalFormatting sqref="G22:G29 I22:I29">
    <cfRule type="cellIs" dxfId="27" priority="7" operator="lessThan">
      <formula>0</formula>
    </cfRule>
    <cfRule type="cellIs" dxfId="26" priority="8" operator="greaterThan">
      <formula>0</formula>
    </cfRule>
  </conditionalFormatting>
  <conditionalFormatting sqref="B37">
    <cfRule type="cellIs" dxfId="25" priority="5" operator="lessThan">
      <formula>0</formula>
    </cfRule>
    <cfRule type="cellIs" dxfId="24" priority="6" operator="greaterThan">
      <formula>0</formula>
    </cfRule>
  </conditionalFormatting>
  <conditionalFormatting sqref="B38">
    <cfRule type="cellIs" dxfId="23" priority="1" operator="lessThan">
      <formula>0</formula>
    </cfRule>
    <cfRule type="cellIs" dxfId="22" priority="2" operator="greaterThan">
      <formula>0</formula>
    </cfRule>
  </conditionalFormatting>
  <hyperlinks>
    <hyperlink ref="H1" location="OverallStats!A1" display="Return to Overall Stats" xr:uid="{6410FE0F-4611-4290-B45E-9DE1F496AE44}"/>
  </hyperlinks>
  <pageMargins left="0.25" right="0.25" top="0.75" bottom="0.75" header="0.3" footer="0.3"/>
  <pageSetup orientation="landscape" r:id="rId1"/>
  <drawing r:id="rId2"/>
  <tableParts count="1">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A9B48-2FF0-4596-B45D-304D237A0130}">
  <dimension ref="A1:T40"/>
  <sheetViews>
    <sheetView workbookViewId="0">
      <selection activeCell="A2" sqref="A2"/>
    </sheetView>
  </sheetViews>
  <sheetFormatPr defaultRowHeight="15" x14ac:dyDescent="0.25"/>
  <cols>
    <col min="1" max="1" width="41.28515625" bestFit="1" customWidth="1"/>
    <col min="2" max="2" width="13.28515625" bestFit="1" customWidth="1"/>
    <col min="3" max="3" width="10" bestFit="1" customWidth="1"/>
    <col min="4" max="4" width="6.5703125" bestFit="1" customWidth="1"/>
    <col min="5" max="5" width="9.5703125" bestFit="1" customWidth="1"/>
    <col min="6" max="6" width="8.140625" bestFit="1" customWidth="1"/>
    <col min="7" max="7" width="9.85546875" bestFit="1" customWidth="1"/>
  </cols>
  <sheetData>
    <row r="1" spans="1:8" ht="20.25" thickBot="1" x14ac:dyDescent="0.35">
      <c r="A1" s="5" t="s">
        <v>51</v>
      </c>
      <c r="G1" s="7"/>
      <c r="H1" s="7" t="s">
        <v>11</v>
      </c>
    </row>
    <row r="2" spans="1:8" ht="15.75" thickTop="1" x14ac:dyDescent="0.25"/>
    <row r="20" spans="1:20" x14ac:dyDescent="0.25">
      <c r="A20" t="s">
        <v>1</v>
      </c>
      <c r="B20" s="4">
        <v>44825</v>
      </c>
    </row>
    <row r="21" spans="1:20" x14ac:dyDescent="0.25">
      <c r="A21" t="s">
        <v>0</v>
      </c>
      <c r="B21" t="s">
        <v>3</v>
      </c>
      <c r="C21" t="s">
        <v>2</v>
      </c>
      <c r="D21" t="s">
        <v>4</v>
      </c>
      <c r="E21" t="s">
        <v>5</v>
      </c>
      <c r="F21" t="s">
        <v>12</v>
      </c>
      <c r="G21" t="s">
        <v>6</v>
      </c>
      <c r="H21" t="s">
        <v>14</v>
      </c>
      <c r="I21" t="s">
        <v>15</v>
      </c>
      <c r="L21" s="22"/>
      <c r="M21" s="21"/>
      <c r="N21" s="23"/>
      <c r="P21" s="24"/>
      <c r="Q21" s="21"/>
      <c r="R21" s="25"/>
      <c r="S21" s="25">
        <v>-9.4E-2</v>
      </c>
      <c r="T21" s="25">
        <v>-3.9E-2</v>
      </c>
    </row>
    <row r="22" spans="1:20" x14ac:dyDescent="0.25">
      <c r="A22" t="e" vm="86">
        <v>#VALUE!</v>
      </c>
      <c r="B22" t="str" cm="1">
        <f t="array" ref="B22">_FV(tbl_Copper[[#This Row],[Company]],"Ticker symbol",TRUE)</f>
        <v>ERO</v>
      </c>
      <c r="C22" s="26">
        <v>14.13</v>
      </c>
      <c r="D22" s="10" cm="1">
        <f t="array" ref="D22">_FV(tbl_Copper[[#This Row],[Company]],"Price")</f>
        <v>15.49</v>
      </c>
      <c r="E22" s="1">
        <f>(tbl_Copper[[#This Row],[Price]]-tbl_Copper[[#This Row],[Start Price]])/tbl_Copper[[#This Row],[Start Price]]</f>
        <v>9.6249115357395568E-2</v>
      </c>
      <c r="F22" s="2">
        <f t="shared" ref="F22:F29" si="0">$E$28</f>
        <v>1.9952833938366225E-2</v>
      </c>
      <c r="G22" s="2">
        <f>tbl_Copper[[#This Row],[% Change]]-tbl_Copper[[#This Row],[S&amp;P 500]]</f>
        <v>7.6296281419029346E-2</v>
      </c>
      <c r="H22" s="2">
        <f t="shared" ref="H22:H29" si="1">$E$29</f>
        <v>-6.8212824010912599E-4</v>
      </c>
      <c r="I22" s="2">
        <f>tbl_Copper[[#This Row],[% Change]]-tbl_Copper[[#This Row],[TSX 60]]</f>
        <v>9.6931243597504699E-2</v>
      </c>
    </row>
    <row r="23" spans="1:20" x14ac:dyDescent="0.25">
      <c r="A23" t="e" vm="87">
        <v>#VALUE!</v>
      </c>
      <c r="B23" t="str" cm="1">
        <f t="array" ref="B23">_FV(tbl_Copper[[#This Row],[Company]],"Ticker symbol",TRUE)</f>
        <v>CMMC</v>
      </c>
      <c r="C23" s="26">
        <v>1.47</v>
      </c>
      <c r="D23" s="10" cm="1">
        <f t="array" ref="D23">_FV(tbl_Copper[[#This Row],[Company]],"Price")</f>
        <v>1.77</v>
      </c>
      <c r="E23" s="1">
        <f>(tbl_Copper[[#This Row],[Price]]-tbl_Copper[[#This Row],[Start Price]])/tbl_Copper[[#This Row],[Start Price]]</f>
        <v>0.20408163265306126</v>
      </c>
      <c r="F23" s="2">
        <f t="shared" si="0"/>
        <v>1.9952833938366225E-2</v>
      </c>
      <c r="G23" s="2">
        <f>tbl_Copper[[#This Row],[% Change]]-tbl_Copper[[#This Row],[S&amp;P 500]]</f>
        <v>0.18412879871469504</v>
      </c>
      <c r="H23" s="2">
        <f t="shared" si="1"/>
        <v>-6.8212824010912599E-4</v>
      </c>
      <c r="I23" s="2">
        <f>tbl_Copper[[#This Row],[% Change]]-tbl_Copper[[#This Row],[TSX 60]]</f>
        <v>0.20476376089317039</v>
      </c>
    </row>
    <row r="24" spans="1:20" x14ac:dyDescent="0.25">
      <c r="A24" t="e" vm="88">
        <v>#VALUE!</v>
      </c>
      <c r="B24" t="str" cm="1">
        <f t="array" ref="B24">_FV(tbl_Copper[[#This Row],[Company]],"Ticker symbol",TRUE)</f>
        <v>CS</v>
      </c>
      <c r="C24" s="26">
        <v>3.22</v>
      </c>
      <c r="D24" s="10" cm="1">
        <f t="array" ref="D24">_FV(tbl_Copper[[#This Row],[Company]],"Price")</f>
        <v>3</v>
      </c>
      <c r="E24" s="1">
        <f>(tbl_Copper[[#This Row],[Price]]-tbl_Copper[[#This Row],[Start Price]])/tbl_Copper[[#This Row],[Start Price]]</f>
        <v>-6.8322981366459687E-2</v>
      </c>
      <c r="F24" s="2">
        <f t="shared" si="0"/>
        <v>1.9952833938366225E-2</v>
      </c>
      <c r="G24" s="2">
        <f>tbl_Copper[[#This Row],[% Change]]-tbl_Copper[[#This Row],[S&amp;P 500]]</f>
        <v>-8.8275815304825908E-2</v>
      </c>
      <c r="H24" s="2">
        <f t="shared" si="1"/>
        <v>-6.8212824010912599E-4</v>
      </c>
      <c r="I24" s="2">
        <f>tbl_Copper[[#This Row],[% Change]]-tbl_Copper[[#This Row],[TSX 60]]</f>
        <v>-6.7640853126350556E-2</v>
      </c>
    </row>
    <row r="25" spans="1:20" x14ac:dyDescent="0.25">
      <c r="A25" t="e" vm="89">
        <v>#VALUE!</v>
      </c>
      <c r="B25" t="str" cm="1">
        <f t="array" ref="B25">_FV(tbl_Copper[[#This Row],[Company]],"Ticker symbol",TRUE)</f>
        <v>HBM</v>
      </c>
      <c r="C25" s="26">
        <v>5.47</v>
      </c>
      <c r="D25" s="10" cm="1">
        <f t="array" ref="D25">_FV(tbl_Copper[[#This Row],[Company]],"Price")</f>
        <v>5.18</v>
      </c>
      <c r="E25" s="1">
        <f>(tbl_Copper[[#This Row],[Price]]-tbl_Copper[[#This Row],[Start Price]])/tbl_Copper[[#This Row],[Start Price]]</f>
        <v>-5.3016453382084106E-2</v>
      </c>
      <c r="F25" s="2">
        <f t="shared" si="0"/>
        <v>1.9952833938366225E-2</v>
      </c>
      <c r="G25" s="2">
        <f>tbl_Copper[[#This Row],[% Change]]-tbl_Copper[[#This Row],[S&amp;P 500]]</f>
        <v>-7.2969287320450327E-2</v>
      </c>
      <c r="H25" s="2">
        <f t="shared" si="1"/>
        <v>-6.8212824010912599E-4</v>
      </c>
      <c r="I25" s="2">
        <f>tbl_Copper[[#This Row],[% Change]]-tbl_Copper[[#This Row],[TSX 60]]</f>
        <v>-5.2334325141974981E-2</v>
      </c>
    </row>
    <row r="26" spans="1:20" x14ac:dyDescent="0.25">
      <c r="A26" t="e" vm="90">
        <v>#VALUE!</v>
      </c>
      <c r="B26" t="str" cm="1">
        <f t="array" ref="B26">_FV(tbl_Copper[[#This Row],[Company]],"Ticker symbol",TRUE)</f>
        <v>FM</v>
      </c>
      <c r="C26" s="26">
        <v>23.27</v>
      </c>
      <c r="D26" s="10" cm="1">
        <f t="array" ref="D26">_FV(tbl_Copper[[#This Row],[Company]],"Price")</f>
        <v>24.97</v>
      </c>
      <c r="E26" s="1">
        <f>(tbl_Copper[[#This Row],[Price]]-tbl_Copper[[#This Row],[Start Price]])/tbl_Copper[[#This Row],[Start Price]]</f>
        <v>7.3055436183927777E-2</v>
      </c>
      <c r="F26" s="2">
        <f t="shared" si="0"/>
        <v>1.9952833938366225E-2</v>
      </c>
      <c r="G26" s="2">
        <f>tbl_Copper[[#This Row],[% Change]]-tbl_Copper[[#This Row],[S&amp;P 500]]</f>
        <v>5.3102602245561556E-2</v>
      </c>
      <c r="H26" s="2">
        <f t="shared" si="1"/>
        <v>-6.8212824010912599E-4</v>
      </c>
      <c r="I26" s="2">
        <f>tbl_Copper[[#This Row],[% Change]]-tbl_Copper[[#This Row],[TSX 60]]</f>
        <v>7.3737564424036908E-2</v>
      </c>
    </row>
    <row r="27" spans="1:20" x14ac:dyDescent="0.25">
      <c r="A27" t="e" vm="91">
        <v>#VALUE!</v>
      </c>
      <c r="B27" t="str" cm="1">
        <f t="array" ref="B27">_FV(tbl_Copper[[#This Row],[Company]],"Ticker symbol",TRUE)</f>
        <v>LUN</v>
      </c>
      <c r="C27" s="26">
        <v>7.1</v>
      </c>
      <c r="D27" s="10" cm="1">
        <f t="array" ref="D27">_FV(tbl_Copper[[#This Row],[Company]],"Price")</f>
        <v>7.06</v>
      </c>
      <c r="E27" s="1">
        <f>(tbl_Copper[[#This Row],[Price]]-tbl_Copper[[#This Row],[Start Price]])/tbl_Copper[[#This Row],[Start Price]]</f>
        <v>-5.633802816901414E-3</v>
      </c>
      <c r="F27" s="2">
        <f t="shared" si="0"/>
        <v>1.9952833938366225E-2</v>
      </c>
      <c r="G27" s="2">
        <f>tbl_Copper[[#This Row],[% Change]]-tbl_Copper[[#This Row],[S&amp;P 500]]</f>
        <v>-2.558663675526764E-2</v>
      </c>
      <c r="H27" s="2">
        <f t="shared" si="1"/>
        <v>-6.8212824010912599E-4</v>
      </c>
      <c r="I27" s="2">
        <f>tbl_Copper[[#This Row],[% Change]]-tbl_Copper[[#This Row],[TSX 60]]</f>
        <v>-4.9516745767922881E-3</v>
      </c>
    </row>
    <row r="28" spans="1:20" x14ac:dyDescent="0.25">
      <c r="A28" t="e" vm="29">
        <v>#VALUE!</v>
      </c>
      <c r="B28" t="str" cm="1">
        <f t="array" ref="B28">_FV(tbl_Copper[[#This Row],[Company]],"Ticker symbol",TRUE)</f>
        <v>SPY</v>
      </c>
      <c r="C28" s="26">
        <v>377.39</v>
      </c>
      <c r="D28" s="10" cm="1">
        <f t="array" ref="D28">_FV(tbl_Copper[[#This Row],[Company]],"Price")</f>
        <v>384.92</v>
      </c>
      <c r="E28" s="1">
        <f>(tbl_Copper[[#This Row],[Price]]-tbl_Copper[[#This Row],[Start Price]])/tbl_Copper[[#This Row],[Start Price]]</f>
        <v>1.9952833938366225E-2</v>
      </c>
      <c r="F28" s="2">
        <f t="shared" si="0"/>
        <v>1.9952833938366225E-2</v>
      </c>
      <c r="G28" s="2">
        <f>tbl_Copper[[#This Row],[% Change]]-tbl_Copper[[#This Row],[S&amp;P 500]]</f>
        <v>0</v>
      </c>
      <c r="H28" s="2">
        <f t="shared" si="1"/>
        <v>-6.8212824010912599E-4</v>
      </c>
      <c r="I28" s="2">
        <f>tbl_Copper[[#This Row],[% Change]]-tbl_Copper[[#This Row],[TSX 60]]</f>
        <v>2.0634962178475352E-2</v>
      </c>
    </row>
    <row r="29" spans="1:20" x14ac:dyDescent="0.25">
      <c r="A29" t="e" vm="30">
        <v>#VALUE!</v>
      </c>
      <c r="B29" t="str" cm="1">
        <f t="array" ref="B29">_FV(tbl_Copper[[#This Row],[Company]],"Ticker symbol",TRUE)</f>
        <v>XIU</v>
      </c>
      <c r="C29" s="26">
        <v>29.32</v>
      </c>
      <c r="D29" s="10" cm="1">
        <f t="array" ref="D29">_FV(tbl_Copper[[#This Row],[Company]],"Price")</f>
        <v>29.3</v>
      </c>
      <c r="E29" s="1">
        <f>(tbl_Copper[[#This Row],[Price]]-tbl_Copper[[#This Row],[Start Price]])/tbl_Copper[[#This Row],[Start Price]]</f>
        <v>-6.8212824010912599E-4</v>
      </c>
      <c r="F29" s="2">
        <f t="shared" si="0"/>
        <v>1.9952833938366225E-2</v>
      </c>
      <c r="G29" s="2">
        <f>tbl_Copper[[#This Row],[% Change]]-tbl_Copper[[#This Row],[S&amp;P 500]]</f>
        <v>-2.0634962178475352E-2</v>
      </c>
      <c r="H29" s="2">
        <f t="shared" si="1"/>
        <v>-6.8212824010912599E-4</v>
      </c>
      <c r="I29" s="2">
        <f>tbl_Copper[[#This Row],[% Change]]-tbl_Copper[[#This Row],[TSX 60]]</f>
        <v>0</v>
      </c>
    </row>
    <row r="30" spans="1:20" x14ac:dyDescent="0.25">
      <c r="C30" s="26"/>
      <c r="D30" s="10"/>
      <c r="E30" s="1"/>
      <c r="F30" s="2"/>
      <c r="G30" s="2"/>
      <c r="H30" s="2"/>
      <c r="I30" s="2"/>
    </row>
    <row r="31" spans="1:20" x14ac:dyDescent="0.25">
      <c r="C31" s="26"/>
      <c r="D31" s="10"/>
      <c r="E31" s="1"/>
      <c r="F31" s="2"/>
      <c r="G31" s="2"/>
      <c r="H31" s="2"/>
      <c r="I31" s="2"/>
    </row>
    <row r="33" spans="1:8" x14ac:dyDescent="0.25">
      <c r="A33" t="s">
        <v>31</v>
      </c>
      <c r="B33" t="str">
        <f>IFERROR(_xlfn.XLOOKUP(C33,E22:E27,B22:B27),"Check")</f>
        <v>CMMC</v>
      </c>
      <c r="C33" s="2">
        <f>MAX(tbl_Copper[% Change])</f>
        <v>0.20408163265306126</v>
      </c>
    </row>
    <row r="34" spans="1:8" x14ac:dyDescent="0.25">
      <c r="A34" t="s">
        <v>30</v>
      </c>
      <c r="B34" t="str">
        <f>IFERROR(_xlfn.XLOOKUP(C34,E22:E27,B22:B27),"Check")</f>
        <v>CS</v>
      </c>
      <c r="C34" s="2">
        <f>MIN(E22:E27)</f>
        <v>-6.8322981366459687E-2</v>
      </c>
    </row>
    <row r="36" spans="1:8" x14ac:dyDescent="0.25">
      <c r="A36" t="s">
        <v>17</v>
      </c>
      <c r="B36" s="14">
        <f>AVERAGE(tbl_Copper[% Change])</f>
        <v>3.3210456540899568E-2</v>
      </c>
    </row>
    <row r="37" spans="1:8" x14ac:dyDescent="0.25">
      <c r="A37" t="s">
        <v>18</v>
      </c>
      <c r="B37" s="1">
        <f>AVERAGE(tbl_Copper[S&amp;P 500])</f>
        <v>1.9952833938366225E-2</v>
      </c>
      <c r="E37" s="1"/>
      <c r="F37" s="1"/>
      <c r="H37" s="1"/>
    </row>
    <row r="38" spans="1:8" x14ac:dyDescent="0.25">
      <c r="A38" t="s">
        <v>19</v>
      </c>
      <c r="B38" s="1">
        <f>AVERAGE(tbl_Copper[TSX 60])</f>
        <v>-6.8212824010912599E-4</v>
      </c>
      <c r="E38" s="1"/>
      <c r="F38" s="1"/>
      <c r="H38" s="1"/>
    </row>
    <row r="39" spans="1:8" x14ac:dyDescent="0.25">
      <c r="A39" s="13" t="s">
        <v>20</v>
      </c>
      <c r="B39" s="6">
        <f>B36-B37</f>
        <v>1.3257622602533343E-2</v>
      </c>
    </row>
    <row r="40" spans="1:8" x14ac:dyDescent="0.25">
      <c r="A40" s="13" t="s">
        <v>21</v>
      </c>
      <c r="B40" s="6">
        <f>B36-B38</f>
        <v>3.3892584781008692E-2</v>
      </c>
    </row>
  </sheetData>
  <conditionalFormatting sqref="I22:I31 G22:G31">
    <cfRule type="cellIs" dxfId="14" priority="7" operator="lessThan">
      <formula>0</formula>
    </cfRule>
    <cfRule type="cellIs" dxfId="13" priority="8" operator="greaterThan">
      <formula>0</formula>
    </cfRule>
  </conditionalFormatting>
  <conditionalFormatting sqref="B39">
    <cfRule type="cellIs" dxfId="12" priority="5" operator="lessThan">
      <formula>0</formula>
    </cfRule>
    <cfRule type="cellIs" dxfId="11" priority="6" operator="greaterThan">
      <formula>0</formula>
    </cfRule>
  </conditionalFormatting>
  <conditionalFormatting sqref="B40">
    <cfRule type="cellIs" dxfId="10" priority="3" operator="lessThan">
      <formula>0</formula>
    </cfRule>
    <cfRule type="cellIs" dxfId="9" priority="4" operator="greaterThan">
      <formula>0</formula>
    </cfRule>
  </conditionalFormatting>
  <conditionalFormatting sqref="G28:G29 I28:I29">
    <cfRule type="cellIs" dxfId="8" priority="1" operator="lessThan">
      <formula>0</formula>
    </cfRule>
    <cfRule type="cellIs" dxfId="7" priority="2" operator="greaterThan">
      <formula>0</formula>
    </cfRule>
  </conditionalFormatting>
  <hyperlinks>
    <hyperlink ref="H1" location="OverallStats!A1" display="Return to Overall Stats" xr:uid="{AA2C791B-42FE-47E9-A899-54F652E6D610}"/>
  </hyperlinks>
  <pageMargins left="0.25" right="0.25" top="0.75" bottom="0.75" header="0.3" footer="0.3"/>
  <pageSetup orientation="landscape"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83A0984E0DD541B376947B59CC160E" ma:contentTypeVersion="6" ma:contentTypeDescription="Create a new document." ma:contentTypeScope="" ma:versionID="fd7dbd2414cf1f88ba959eab85246669">
  <xsd:schema xmlns:xsd="http://www.w3.org/2001/XMLSchema" xmlns:xs="http://www.w3.org/2001/XMLSchema" xmlns:p="http://schemas.microsoft.com/office/2006/metadata/properties" xmlns:ns2="6dcf91f0-7461-47f4-a3f3-eec980a99b7f" targetNamespace="http://schemas.microsoft.com/office/2006/metadata/properties" ma:root="true" ma:fieldsID="62d11fa57f51d50fc6c4b586c03e048a" ns2:_="">
    <xsd:import namespace="6dcf91f0-7461-47f4-a3f3-eec980a99b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cf91f0-7461-47f4-a3f3-eec980a99b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6E0F2DE-F33A-4371-8540-815575C54617}">
  <ds:schemaRefs>
    <ds:schemaRef ds:uri="http://schemas.microsoft.com/sharepoint/v3/contenttype/forms"/>
  </ds:schemaRefs>
</ds:datastoreItem>
</file>

<file path=customXml/itemProps2.xml><?xml version="1.0" encoding="utf-8"?>
<ds:datastoreItem xmlns:ds="http://schemas.openxmlformats.org/officeDocument/2006/customXml" ds:itemID="{487814BF-1DEB-491A-901C-026DC3E675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cf91f0-7461-47f4-a3f3-eec980a99b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239D14-FED5-4A94-A874-8B8BC0A28518}">
  <ds:schemaRefs>
    <ds:schemaRef ds:uri="http://schemas.microsoft.com/office/2006/documentManagement/types"/>
    <ds:schemaRef ds:uri="http://purl.org/dc/terms/"/>
    <ds:schemaRef ds:uri="http://www.w3.org/XML/1998/namespace"/>
    <ds:schemaRef ds:uri="http://schemas.microsoft.com/office/infopath/2007/PartnerControls"/>
    <ds:schemaRef ds:uri="http://purl.org/dc/dcmitype/"/>
    <ds:schemaRef ds:uri="http://purl.org/dc/elements/1.1/"/>
    <ds:schemaRef ds:uri="http://schemas.openxmlformats.org/package/2006/metadata/core-properties"/>
    <ds:schemaRef ds:uri="6dcf91f0-7461-47f4-a3f3-eec980a99b7f"/>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ReadMe</vt:lpstr>
      <vt:lpstr>OverallStats</vt:lpstr>
      <vt:lpstr>AI</vt:lpstr>
      <vt:lpstr>CashlessSociety</vt:lpstr>
      <vt:lpstr>DigitalRevolution</vt:lpstr>
      <vt:lpstr>CDNStarter</vt:lpstr>
      <vt:lpstr>GoneToTheAnimals</vt:lpstr>
      <vt:lpstr>CdnTechs</vt:lpstr>
      <vt:lpstr>GreenRevolution</vt:lpstr>
      <vt:lpstr>ElectricVehicles</vt:lpstr>
      <vt:lpstr>BuyNowPayLater</vt:lpstr>
      <vt:lpstr>ForTheConsumer</vt:lpstr>
      <vt:lpstr>GetOutAndGo</vt:lpstr>
      <vt:lpstr>USInfrastructure</vt:lpstr>
      <vt:lpstr>Copper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baskets of themed stocks</dc:title>
  <dc:creator>Scott Elliott</dc:creator>
  <cp:keywords>AI, cashless society, digital revolution, canadian starter stocks, pets, copper, consumers, canadian tech, green revolution, electric vehicles, buy now pay later, get out and go, US infrastructure</cp:keywords>
  <cp:lastModifiedBy>Scott Elliott</cp:lastModifiedBy>
  <cp:lastPrinted>2021-02-04T21:20:46Z</cp:lastPrinted>
  <dcterms:created xsi:type="dcterms:W3CDTF">2020-12-05T00:59:13Z</dcterms:created>
  <dcterms:modified xsi:type="dcterms:W3CDTF">2022-10-26T02:11:08Z</dcterms:modified>
  <cp:category>Investing</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0x010100FA83A0984E0DD541B376947B59CC160E</vt:lpwstr>
  </property>
</Properties>
</file>